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Ex3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charts/chartEx4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yaoho\Personal Info\Mind_maps\金融系列\Finance and Accounting Specialization\FP&amp;A Cases\Case 19 - Variance Analysis (Report)\"/>
    </mc:Choice>
  </mc:AlternateContent>
  <xr:revisionPtr revIDLastSave="0" documentId="13_ncr:1_{BB4F0266-DDDD-4F8D-A530-3CF6EA4E1CF8}" xr6:coauthVersionLast="47" xr6:coauthVersionMax="47" xr10:uidLastSave="{00000000-0000-0000-0000-000000000000}"/>
  <bookViews>
    <workbookView xWindow="-110" yWindow="-110" windowWidth="25820" windowHeight="15500" activeTab="3" xr2:uid="{00000000-000D-0000-FFFF-FFFF00000000}"/>
  </bookViews>
  <sheets>
    <sheet name="Instructions" sheetId="3" r:id="rId1"/>
    <sheet name="Analysis &gt; &gt;" sheetId="6" r:id="rId2"/>
    <sheet name="Analysis" sheetId="5" r:id="rId3"/>
    <sheet name="Management Report" sheetId="4" r:id="rId4"/>
    <sheet name="Source Data &gt; &gt;" sheetId="2" r:id="rId5"/>
    <sheet name="Database_Product" sheetId="7" r:id="rId6"/>
    <sheet name="Database_Client" sheetId="9" r:id="rId7"/>
  </sheets>
  <definedNames>
    <definedName name="_xlchart.v5.0" hidden="1">Analysis!$B$51:$B$57</definedName>
    <definedName name="_xlchart.v5.1" hidden="1">Analysis!$C$51:$C$57</definedName>
    <definedName name="_xlchart.v5.10" hidden="1">Analysis!$B$51:$B$57</definedName>
    <definedName name="_xlchart.v5.11" hidden="1">Analysis!$C$51:$C$57</definedName>
    <definedName name="_xlchart.v5.12" hidden="1">Analysis!$B$21:$B$27</definedName>
    <definedName name="_xlchart.v5.13" hidden="1">Analysis!$C$21:$C$27</definedName>
    <definedName name="_xlchart.v5.14" hidden="1">Analysis!$B$21:$B$27</definedName>
    <definedName name="_xlchart.v5.15" hidden="1">Analysis!$C$21:$C$27</definedName>
    <definedName name="_xlchart.v5.2" hidden="1">Analysis!$B$51:$B$57</definedName>
    <definedName name="_xlchart.v5.3" hidden="1">Analysis!$C$51:$C$57</definedName>
    <definedName name="_xlchart.v5.4" hidden="1">Analysis!$B$21:$B$27</definedName>
    <definedName name="_xlchart.v5.5" hidden="1">Analysis!$C$21:$C$27</definedName>
    <definedName name="_xlchart.v5.6" hidden="1">Analysis!$B$21:$B$27</definedName>
    <definedName name="_xlchart.v5.7" hidden="1">Analysis!$C$21:$C$27</definedName>
    <definedName name="_xlchart.v5.8" hidden="1">Analysis!$B$51:$B$57</definedName>
    <definedName name="_xlchart.v5.9" hidden="1">Analysis!$C$51:$C$57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5" i="5" l="1"/>
  <c r="J195" i="5"/>
  <c r="I195" i="5"/>
  <c r="H195" i="5"/>
  <c r="G195" i="5"/>
  <c r="F195" i="5"/>
  <c r="E195" i="5"/>
  <c r="D195" i="5"/>
  <c r="C195" i="5"/>
  <c r="K194" i="5"/>
  <c r="K193" i="5"/>
  <c r="K192" i="5"/>
  <c r="K191" i="5"/>
  <c r="K190" i="5"/>
  <c r="J194" i="5"/>
  <c r="I194" i="5"/>
  <c r="H194" i="5"/>
  <c r="G194" i="5"/>
  <c r="F194" i="5"/>
  <c r="E194" i="5"/>
  <c r="D194" i="5"/>
  <c r="C194" i="5"/>
  <c r="J193" i="5"/>
  <c r="I193" i="5"/>
  <c r="H193" i="5"/>
  <c r="G193" i="5"/>
  <c r="F193" i="5"/>
  <c r="E193" i="5"/>
  <c r="D193" i="5"/>
  <c r="C193" i="5"/>
  <c r="J192" i="5"/>
  <c r="I192" i="5"/>
  <c r="H192" i="5"/>
  <c r="G192" i="5"/>
  <c r="F192" i="5"/>
  <c r="E192" i="5"/>
  <c r="D192" i="5"/>
  <c r="C192" i="5"/>
  <c r="J191" i="5"/>
  <c r="I191" i="5"/>
  <c r="H191" i="5"/>
  <c r="G191" i="5"/>
  <c r="F191" i="5"/>
  <c r="E191" i="5"/>
  <c r="D191" i="5"/>
  <c r="C191" i="5"/>
  <c r="J190" i="5"/>
  <c r="I190" i="5"/>
  <c r="H190" i="5"/>
  <c r="G190" i="5"/>
  <c r="F190" i="5"/>
  <c r="E190" i="5"/>
  <c r="D190" i="5"/>
  <c r="C190" i="5"/>
  <c r="B190" i="5" a="1"/>
  <c r="B190" i="5" s="1"/>
  <c r="K159" i="5"/>
  <c r="J159" i="5"/>
  <c r="I159" i="5"/>
  <c r="H159" i="5"/>
  <c r="G159" i="5"/>
  <c r="F159" i="5"/>
  <c r="E159" i="5"/>
  <c r="D159" i="5"/>
  <c r="C159" i="5"/>
  <c r="K158" i="5"/>
  <c r="K157" i="5"/>
  <c r="K156" i="5"/>
  <c r="K155" i="5"/>
  <c r="K154" i="5"/>
  <c r="J158" i="5"/>
  <c r="I158" i="5"/>
  <c r="H158" i="5"/>
  <c r="G158" i="5"/>
  <c r="F158" i="5"/>
  <c r="E158" i="5"/>
  <c r="D158" i="5"/>
  <c r="C158" i="5"/>
  <c r="J157" i="5"/>
  <c r="I157" i="5"/>
  <c r="H157" i="5"/>
  <c r="G157" i="5"/>
  <c r="F157" i="5"/>
  <c r="E157" i="5"/>
  <c r="D157" i="5"/>
  <c r="C157" i="5"/>
  <c r="J156" i="5"/>
  <c r="I156" i="5"/>
  <c r="H156" i="5"/>
  <c r="G156" i="5"/>
  <c r="F156" i="5"/>
  <c r="E156" i="5"/>
  <c r="D156" i="5"/>
  <c r="C156" i="5"/>
  <c r="J155" i="5"/>
  <c r="I155" i="5"/>
  <c r="H155" i="5"/>
  <c r="G155" i="5"/>
  <c r="F155" i="5"/>
  <c r="E155" i="5"/>
  <c r="D155" i="5"/>
  <c r="C155" i="5"/>
  <c r="J154" i="5"/>
  <c r="I154" i="5"/>
  <c r="H154" i="5"/>
  <c r="G154" i="5"/>
  <c r="F154" i="5"/>
  <c r="E154" i="5"/>
  <c r="D154" i="5"/>
  <c r="C154" i="5"/>
  <c r="B154" i="5" a="1"/>
  <c r="B154" i="5" s="1"/>
  <c r="J120" i="5"/>
  <c r="I120" i="5"/>
  <c r="H120" i="5"/>
  <c r="G120" i="5"/>
  <c r="F120" i="5"/>
  <c r="E120" i="5"/>
  <c r="D120" i="5"/>
  <c r="C120" i="5"/>
  <c r="J119" i="5"/>
  <c r="I119" i="5"/>
  <c r="H119" i="5"/>
  <c r="G119" i="5"/>
  <c r="F119" i="5"/>
  <c r="E119" i="5"/>
  <c r="D119" i="5"/>
  <c r="C119" i="5"/>
  <c r="J118" i="5"/>
  <c r="I118" i="5"/>
  <c r="H118" i="5"/>
  <c r="G118" i="5"/>
  <c r="F118" i="5"/>
  <c r="E118" i="5"/>
  <c r="D118" i="5"/>
  <c r="C118" i="5"/>
  <c r="J117" i="5"/>
  <c r="I117" i="5"/>
  <c r="H117" i="5"/>
  <c r="G117" i="5"/>
  <c r="F117" i="5"/>
  <c r="E117" i="5"/>
  <c r="D117" i="5"/>
  <c r="C117" i="5"/>
  <c r="J116" i="5"/>
  <c r="I116" i="5"/>
  <c r="H116" i="5"/>
  <c r="G116" i="5"/>
  <c r="F116" i="5"/>
  <c r="E116" i="5"/>
  <c r="D116" i="5"/>
  <c r="C116" i="5"/>
  <c r="B116" i="5" a="1"/>
  <c r="D115" i="5"/>
  <c r="E115" i="5" s="1"/>
  <c r="F115" i="5" s="1"/>
  <c r="G115" i="5" s="1"/>
  <c r="H115" i="5" s="1"/>
  <c r="I115" i="5" s="1"/>
  <c r="J115" i="5" s="1"/>
  <c r="B145" i="5" a="1"/>
  <c r="C144" i="5"/>
  <c r="D144" i="5" s="1"/>
  <c r="E144" i="5" s="1"/>
  <c r="F144" i="5" s="1"/>
  <c r="G144" i="5" s="1"/>
  <c r="H144" i="5" s="1"/>
  <c r="I144" i="5" s="1"/>
  <c r="J144" i="5" s="1"/>
  <c r="D143" i="5"/>
  <c r="E143" i="5" s="1"/>
  <c r="F143" i="5" s="1"/>
  <c r="G143" i="5" s="1"/>
  <c r="H143" i="5" s="1"/>
  <c r="I143" i="5" s="1"/>
  <c r="J143" i="5" s="1"/>
  <c r="B135" i="5" a="1"/>
  <c r="D137" i="5" s="1"/>
  <c r="C134" i="5"/>
  <c r="D134" i="5" s="1"/>
  <c r="E134" i="5" s="1"/>
  <c r="F134" i="5" s="1"/>
  <c r="G134" i="5" s="1"/>
  <c r="H134" i="5" s="1"/>
  <c r="I134" i="5" s="1"/>
  <c r="J134" i="5" s="1"/>
  <c r="D133" i="5"/>
  <c r="E133" i="5" s="1"/>
  <c r="F133" i="5" s="1"/>
  <c r="G133" i="5" s="1"/>
  <c r="H133" i="5" s="1"/>
  <c r="I133" i="5" s="1"/>
  <c r="J133" i="5" s="1"/>
  <c r="B125" i="5" a="1"/>
  <c r="B125" i="5" s="1"/>
  <c r="J125" i="5" s="1"/>
  <c r="C124" i="5"/>
  <c r="D124" i="5" s="1"/>
  <c r="E124" i="5" s="1"/>
  <c r="F124" i="5" s="1"/>
  <c r="G124" i="5" s="1"/>
  <c r="H124" i="5" s="1"/>
  <c r="I124" i="5" s="1"/>
  <c r="J124" i="5" s="1"/>
  <c r="D123" i="5"/>
  <c r="E123" i="5" s="1"/>
  <c r="F123" i="5" s="1"/>
  <c r="G123" i="5" s="1"/>
  <c r="H123" i="5" s="1"/>
  <c r="I123" i="5" s="1"/>
  <c r="J123" i="5" s="1"/>
  <c r="K119" i="5" l="1"/>
  <c r="B116" i="5"/>
  <c r="E137" i="5"/>
  <c r="F137" i="5"/>
  <c r="G137" i="5"/>
  <c r="H137" i="5"/>
  <c r="I137" i="5"/>
  <c r="J137" i="5"/>
  <c r="C138" i="5"/>
  <c r="H146" i="5"/>
  <c r="I127" i="5"/>
  <c r="J127" i="5"/>
  <c r="C128" i="5"/>
  <c r="D128" i="5"/>
  <c r="E128" i="5"/>
  <c r="F128" i="5"/>
  <c r="G128" i="5"/>
  <c r="J128" i="5"/>
  <c r="H128" i="5"/>
  <c r="I128" i="5"/>
  <c r="I146" i="5"/>
  <c r="D129" i="5"/>
  <c r="C147" i="5"/>
  <c r="E129" i="5"/>
  <c r="D147" i="5"/>
  <c r="F129" i="5"/>
  <c r="E147" i="5"/>
  <c r="G129" i="5"/>
  <c r="G147" i="5"/>
  <c r="H147" i="5"/>
  <c r="I147" i="5"/>
  <c r="J147" i="5"/>
  <c r="C148" i="5"/>
  <c r="D148" i="5"/>
  <c r="E148" i="5"/>
  <c r="F148" i="5"/>
  <c r="G148" i="5"/>
  <c r="C125" i="5"/>
  <c r="D125" i="5"/>
  <c r="E125" i="5"/>
  <c r="F125" i="5"/>
  <c r="J136" i="5"/>
  <c r="G125" i="5"/>
  <c r="C137" i="5"/>
  <c r="H125" i="5"/>
  <c r="H127" i="5"/>
  <c r="J146" i="5"/>
  <c r="F147" i="5"/>
  <c r="H129" i="5"/>
  <c r="C129" i="5"/>
  <c r="J148" i="5"/>
  <c r="I125" i="5"/>
  <c r="I129" i="5"/>
  <c r="C149" i="5"/>
  <c r="J129" i="5"/>
  <c r="D149" i="5"/>
  <c r="C126" i="5"/>
  <c r="G149" i="5"/>
  <c r="F126" i="5"/>
  <c r="H148" i="5"/>
  <c r="I148" i="5"/>
  <c r="E149" i="5"/>
  <c r="D126" i="5"/>
  <c r="F149" i="5"/>
  <c r="E126" i="5"/>
  <c r="I136" i="5"/>
  <c r="H149" i="5"/>
  <c r="G126" i="5"/>
  <c r="I149" i="5"/>
  <c r="H126" i="5"/>
  <c r="J149" i="5"/>
  <c r="I126" i="5"/>
  <c r="C146" i="5"/>
  <c r="J126" i="5"/>
  <c r="D146" i="5"/>
  <c r="C127" i="5"/>
  <c r="E146" i="5"/>
  <c r="D127" i="5"/>
  <c r="F146" i="5"/>
  <c r="E127" i="5"/>
  <c r="G146" i="5"/>
  <c r="F127" i="5"/>
  <c r="G127" i="5"/>
  <c r="B145" i="5"/>
  <c r="J139" i="5"/>
  <c r="D138" i="5"/>
  <c r="E138" i="5"/>
  <c r="F138" i="5"/>
  <c r="G138" i="5"/>
  <c r="H138" i="5"/>
  <c r="C136" i="5"/>
  <c r="D136" i="5"/>
  <c r="E136" i="5"/>
  <c r="F136" i="5"/>
  <c r="G136" i="5"/>
  <c r="H136" i="5"/>
  <c r="I138" i="5"/>
  <c r="J138" i="5"/>
  <c r="C139" i="5"/>
  <c r="D139" i="5"/>
  <c r="E139" i="5"/>
  <c r="F139" i="5"/>
  <c r="G139" i="5"/>
  <c r="H139" i="5"/>
  <c r="I139" i="5"/>
  <c r="B135" i="5"/>
  <c r="I135" i="5" s="1"/>
  <c r="C6" i="5"/>
  <c r="N71" i="5"/>
  <c r="N78" i="5" s="1"/>
  <c r="B72" i="5" a="1"/>
  <c r="B72" i="5" s="1"/>
  <c r="B44" i="5" a="1"/>
  <c r="B44" i="5" s="1"/>
  <c r="B14" i="5" a="1"/>
  <c r="B14" i="5" s="1"/>
  <c r="D42" i="5"/>
  <c r="D7" i="5"/>
  <c r="D12" i="5"/>
  <c r="K118" i="5" l="1"/>
  <c r="K117" i="5"/>
  <c r="K120" i="5"/>
  <c r="J121" i="5"/>
  <c r="I121" i="5"/>
  <c r="H121" i="5"/>
  <c r="G121" i="5"/>
  <c r="F121" i="5"/>
  <c r="E121" i="5"/>
  <c r="D121" i="5"/>
  <c r="K147" i="5"/>
  <c r="K128" i="5"/>
  <c r="C130" i="5"/>
  <c r="I140" i="5"/>
  <c r="K146" i="5"/>
  <c r="D135" i="5"/>
  <c r="E135" i="5"/>
  <c r="E140" i="5" s="1"/>
  <c r="H130" i="5"/>
  <c r="C135" i="5"/>
  <c r="G130" i="5"/>
  <c r="J130" i="5"/>
  <c r="F130" i="5"/>
  <c r="K129" i="5"/>
  <c r="E130" i="5"/>
  <c r="D130" i="5"/>
  <c r="K126" i="5"/>
  <c r="J145" i="5"/>
  <c r="J150" i="5" s="1"/>
  <c r="I145" i="5"/>
  <c r="I150" i="5" s="1"/>
  <c r="H145" i="5"/>
  <c r="H150" i="5" s="1"/>
  <c r="F145" i="5"/>
  <c r="F150" i="5" s="1"/>
  <c r="E145" i="5"/>
  <c r="E150" i="5" s="1"/>
  <c r="G145" i="5"/>
  <c r="G150" i="5" s="1"/>
  <c r="D145" i="5"/>
  <c r="D150" i="5" s="1"/>
  <c r="C145" i="5"/>
  <c r="C150" i="5" s="1"/>
  <c r="J135" i="5"/>
  <c r="J140" i="5" s="1"/>
  <c r="H135" i="5"/>
  <c r="H140" i="5" s="1"/>
  <c r="G135" i="5"/>
  <c r="G140" i="5" s="1"/>
  <c r="K127" i="5"/>
  <c r="F135" i="5"/>
  <c r="F140" i="5" s="1"/>
  <c r="D140" i="5"/>
  <c r="C140" i="5"/>
  <c r="I130" i="5"/>
  <c r="K125" i="5"/>
  <c r="K149" i="5"/>
  <c r="K148" i="5"/>
  <c r="K137" i="5"/>
  <c r="N72" i="5"/>
  <c r="K139" i="5"/>
  <c r="K136" i="5"/>
  <c r="K138" i="5"/>
  <c r="D6" i="5"/>
  <c r="C42" i="5"/>
  <c r="N73" i="5"/>
  <c r="N75" i="5"/>
  <c r="N76" i="5"/>
  <c r="N74" i="5"/>
  <c r="C12" i="5"/>
  <c r="D11" i="5"/>
  <c r="B52" i="5" a="1"/>
  <c r="B52" i="5" s="1"/>
  <c r="D41" i="5"/>
  <c r="B22" i="5" a="1"/>
  <c r="B22" i="5" s="1"/>
  <c r="M71" i="5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B6" i="9"/>
  <c r="B7" i="9" s="1"/>
  <c r="B8" i="9" s="1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C121" i="5" l="1"/>
  <c r="K116" i="5"/>
  <c r="K121" i="5" s="1"/>
  <c r="K130" i="5"/>
  <c r="K145" i="5"/>
  <c r="K150" i="5"/>
  <c r="K135" i="5"/>
  <c r="K140" i="5" s="1"/>
  <c r="C11" i="5"/>
  <c r="C17" i="5" s="1"/>
  <c r="C41" i="5"/>
  <c r="D14" i="5"/>
  <c r="D44" i="5" s="1"/>
  <c r="D18" i="5"/>
  <c r="D17" i="5"/>
  <c r="D16" i="5"/>
  <c r="D46" i="5" s="1"/>
  <c r="D15" i="5"/>
  <c r="D45" i="5" s="1"/>
  <c r="L71" i="5"/>
  <c r="M73" i="5"/>
  <c r="M78" i="5"/>
  <c r="M76" i="5"/>
  <c r="M75" i="5"/>
  <c r="M72" i="5"/>
  <c r="M74" i="5"/>
  <c r="C47" i="5" l="1"/>
  <c r="C14" i="5"/>
  <c r="C44" i="5" s="1"/>
  <c r="E44" i="5" s="1"/>
  <c r="E17" i="5"/>
  <c r="C15" i="5"/>
  <c r="C16" i="5"/>
  <c r="C46" i="5" s="1"/>
  <c r="E46" i="5" s="1"/>
  <c r="C18" i="5"/>
  <c r="C48" i="5" s="1"/>
  <c r="C45" i="5"/>
  <c r="E15" i="5"/>
  <c r="D19" i="5"/>
  <c r="C27" i="5" s="1"/>
  <c r="D47" i="5"/>
  <c r="D48" i="5"/>
  <c r="K71" i="5"/>
  <c r="L76" i="5"/>
  <c r="L78" i="5"/>
  <c r="L73" i="5"/>
  <c r="L74" i="5"/>
  <c r="L72" i="5"/>
  <c r="L75" i="5"/>
  <c r="E48" i="5" l="1"/>
  <c r="E14" i="5"/>
  <c r="E47" i="5"/>
  <c r="C49" i="5"/>
  <c r="C51" i="5" s="1"/>
  <c r="C19" i="5"/>
  <c r="C21" i="5" s="1"/>
  <c r="E16" i="5"/>
  <c r="E18" i="5"/>
  <c r="E45" i="5"/>
  <c r="D49" i="5"/>
  <c r="C57" i="5" s="1"/>
  <c r="J71" i="5"/>
  <c r="K78" i="5"/>
  <c r="K76" i="5"/>
  <c r="K74" i="5"/>
  <c r="K73" i="5"/>
  <c r="K72" i="5"/>
  <c r="K75" i="5"/>
  <c r="E49" i="5"/>
  <c r="C52" i="5" a="1"/>
  <c r="C52" i="5" s="1"/>
  <c r="C22" i="5" l="1" a="1"/>
  <c r="C22" i="5" s="1"/>
  <c r="E19" i="5"/>
  <c r="I71" i="5"/>
  <c r="J78" i="5"/>
  <c r="J74" i="5"/>
  <c r="J72" i="5"/>
  <c r="J75" i="5"/>
  <c r="J73" i="5"/>
  <c r="J76" i="5"/>
  <c r="H71" i="5" l="1"/>
  <c r="I78" i="5"/>
  <c r="I74" i="5"/>
  <c r="I73" i="5"/>
  <c r="I75" i="5"/>
  <c r="I76" i="5"/>
  <c r="I72" i="5"/>
  <c r="G71" i="5" l="1"/>
  <c r="H78" i="5"/>
  <c r="H73" i="5"/>
  <c r="H74" i="5"/>
  <c r="H76" i="5"/>
  <c r="H72" i="5"/>
  <c r="H75" i="5"/>
  <c r="F71" i="5" l="1"/>
  <c r="G78" i="5"/>
  <c r="G73" i="5"/>
  <c r="G76" i="5"/>
  <c r="G75" i="5"/>
  <c r="G72" i="5"/>
  <c r="G74" i="5"/>
  <c r="E71" i="5" l="1"/>
  <c r="F78" i="5"/>
  <c r="F73" i="5"/>
  <c r="F75" i="5"/>
  <c r="F76" i="5"/>
  <c r="F72" i="5"/>
  <c r="F74" i="5"/>
  <c r="D71" i="5" l="1"/>
  <c r="E78" i="5"/>
  <c r="E76" i="5"/>
  <c r="E73" i="5"/>
  <c r="E74" i="5"/>
  <c r="E72" i="5"/>
  <c r="E75" i="5"/>
  <c r="C71" i="5" l="1"/>
  <c r="D78" i="5"/>
  <c r="D76" i="5"/>
  <c r="D72" i="5"/>
  <c r="D73" i="5"/>
  <c r="D74" i="5"/>
  <c r="D75" i="5"/>
  <c r="C78" i="5" l="1"/>
  <c r="C73" i="5"/>
  <c r="C74" i="5"/>
  <c r="C75" i="5"/>
  <c r="C76" i="5"/>
  <c r="C7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<sst xmlns="http://schemas.openxmlformats.org/spreadsheetml/2006/main" count="202" uniqueCount="67">
  <si>
    <t>*Sourced from the company's internal database as of September 8, 2025, dated for end of August 2025</t>
  </si>
  <si>
    <t>Period</t>
  </si>
  <si>
    <t>Product</t>
  </si>
  <si>
    <t>Volume</t>
  </si>
  <si>
    <t>Sales Price</t>
  </si>
  <si>
    <t>Revenue</t>
  </si>
  <si>
    <t>Database_Client</t>
  </si>
  <si>
    <t>Unique Clients</t>
  </si>
  <si>
    <t>Transactions</t>
  </si>
  <si>
    <t>Phones</t>
  </si>
  <si>
    <t>Laptop</t>
  </si>
  <si>
    <t>Monitors</t>
  </si>
  <si>
    <t>PC</t>
  </si>
  <si>
    <t>Accessories</t>
  </si>
  <si>
    <t>Units Sold</t>
  </si>
  <si>
    <t>Database_Product</t>
  </si>
  <si>
    <t>Instructions:</t>
  </si>
  <si>
    <t>Objective:</t>
  </si>
  <si>
    <t>1)</t>
  </si>
  <si>
    <t>a)</t>
  </si>
  <si>
    <t>2)</t>
  </si>
  <si>
    <t>3)</t>
  </si>
  <si>
    <t>Analysis</t>
  </si>
  <si>
    <t>The analysis conducted should cover the period for August YTD, between FY24 and FY25</t>
  </si>
  <si>
    <t>Prior Year:</t>
  </si>
  <si>
    <t>Current Year:</t>
  </si>
  <si>
    <t>Within your portfolio, you have one company that is an electronic goods store. The investors would like to get insight on changes in performance from FY24 to FY25.</t>
  </si>
  <si>
    <t>The main focus for this will be data vizualization, showing the variance analysis between FY24 and FY25.</t>
  </si>
  <si>
    <t>Conduct the list of analysis detailed in the "Analysis" tab</t>
  </si>
  <si>
    <t>Create a Graph that best represents the story you'd like to communicate from the analysis</t>
  </si>
  <si>
    <t>Analyze the variance by Product and Total. Put together a Graph to communicate the findings</t>
  </si>
  <si>
    <t>Conduct a more normalized analysis - analyze the same detail as question 1 but now on a revenue per customer basis. Put together a Graph to communicate the findings</t>
  </si>
  <si>
    <t>Create preliminary slides for the management report with the graphs and supporting commentary in the "Management Report" tab</t>
  </si>
  <si>
    <t>Additional Detail:</t>
  </si>
  <si>
    <t>The analysis should be conducted on a "August YTD" basis for both FY24 and FY25</t>
  </si>
  <si>
    <t>Given the lack of detail in the sales data, conduct normalized analysis based on total customer volume</t>
  </si>
  <si>
    <t>Management Report</t>
  </si>
  <si>
    <t>FY24</t>
  </si>
  <si>
    <t>FY25</t>
  </si>
  <si>
    <t>Total</t>
  </si>
  <si>
    <t>Variance</t>
  </si>
  <si>
    <t>Analysis Period</t>
  </si>
  <si>
    <t>Beginning Period</t>
  </si>
  <si>
    <t>Average Revenue per Client</t>
  </si>
  <si>
    <t>Determine the sales volume product mix for the last 12 months and compare against the average revenue per client. Put together a graph to communicate the findings</t>
  </si>
  <si>
    <t>FY24 Revenue</t>
  </si>
  <si>
    <t>FY25 Revenue</t>
  </si>
  <si>
    <t>4)</t>
  </si>
  <si>
    <t xml:space="preserve">Price Effect </t>
  </si>
  <si>
    <t>(FY25 price - FY24 price)*FY25 volume)</t>
  </si>
  <si>
    <t>FY Total</t>
  </si>
  <si>
    <t>Volume Effect</t>
  </si>
  <si>
    <t>(FY25 volume - FY24 volume)*FY24 price)</t>
  </si>
  <si>
    <t>Revenue Delta</t>
  </si>
  <si>
    <t>Price Effect as % of FY24 Revenue</t>
  </si>
  <si>
    <t>FY2024 Revenue</t>
  </si>
  <si>
    <t>Assess the price and volume impact on revenue. Put together garphs to communicate the findings</t>
  </si>
  <si>
    <t>Jan</t>
  </si>
  <si>
    <t>Feb</t>
  </si>
  <si>
    <t>Mar</t>
  </si>
  <si>
    <t>Apr</t>
  </si>
  <si>
    <t>May</t>
  </si>
  <si>
    <t>Jun</t>
  </si>
  <si>
    <t>Aug</t>
  </si>
  <si>
    <t>Jul</t>
  </si>
  <si>
    <t>Volume Effect as % of FY24 Revenue</t>
  </si>
  <si>
    <t>Today is September 26, 2025. You are a senior financial analyst.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</si>
</sst>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-409]mmm\-yy;@"/>
    <numFmt numFmtId="166" formatCode="0.0%_);\(0.0%\)"/>
  </numFmts>
  <fonts count="1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1"/>
      <name val="lexend exa"/>
      <family val="2"/>
    </font>
    <font>
      <b/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theme="2" tint="-0.249977111117893"/>
      </left>
      <right/>
      <top style="medium">
        <color theme="2" tint="-0.249977111117893"/>
      </top>
      <bottom/>
      <diagonal/>
    </border>
    <border>
      <left/>
      <right/>
      <top style="medium">
        <color theme="2" tint="-0.249977111117893"/>
      </top>
      <bottom/>
      <diagonal/>
    </border>
    <border>
      <left/>
      <right style="medium">
        <color theme="2" tint="-0.249977111117893"/>
      </right>
      <top style="medium">
        <color theme="2" tint="-0.249977111117893"/>
      </top>
      <bottom/>
      <diagonal/>
    </border>
    <border>
      <left style="medium">
        <color theme="2" tint="-0.249977111117893"/>
      </left>
      <right/>
      <top/>
      <bottom/>
      <diagonal/>
    </border>
    <border>
      <left/>
      <right style="medium">
        <color theme="2" tint="-0.249977111117893"/>
      </right>
      <top/>
      <bottom/>
      <diagonal/>
    </border>
    <border>
      <left style="medium">
        <color theme="2" tint="-0.249977111117893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theme="2" tint="-0.249977111117893"/>
      </left>
      <right/>
      <top/>
      <bottom style="medium">
        <color theme="2" tint="-0.249977111117893"/>
      </bottom>
      <diagonal/>
    </border>
    <border>
      <left/>
      <right/>
      <top/>
      <bottom style="medium">
        <color theme="2" tint="-0.249977111117893"/>
      </bottom>
      <diagonal/>
    </border>
    <border>
      <left/>
      <right style="medium">
        <color theme="2" tint="-0.249977111117893"/>
      </right>
      <top/>
      <bottom style="medium">
        <color theme="2" tint="-0.24997711111789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4" fillId="0" borderId="0"/>
    <xf numFmtId="9" fontId="10" fillId="0" borderId="0" applyFont="0" applyFill="0" applyBorder="0" applyAlignment="0" applyProtection="0"/>
  </cellStyleXfs>
  <cellXfs count="54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9" fontId="0" fillId="0" borderId="0" xfId="0" applyNumberFormat="1"/>
    <xf numFmtId="0" fontId="0" fillId="3" borderId="0" xfId="0" applyFill="1"/>
    <xf numFmtId="0" fontId="1" fillId="4" borderId="0" xfId="0" applyFont="1" applyFill="1" applyAlignment="1">
      <alignment horizontal="center"/>
    </xf>
    <xf numFmtId="17" fontId="0" fillId="5" borderId="13" xfId="0" applyNumberFormat="1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3" fontId="0" fillId="5" borderId="13" xfId="0" applyNumberFormat="1" applyFill="1" applyBorder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left"/>
    </xf>
    <xf numFmtId="17" fontId="9" fillId="6" borderId="13" xfId="0" applyNumberFormat="1" applyFont="1" applyFill="1" applyBorder="1" applyAlignment="1">
      <alignment horizontal="center"/>
    </xf>
    <xf numFmtId="0" fontId="1" fillId="4" borderId="0" xfId="0" applyFont="1" applyFill="1"/>
    <xf numFmtId="0" fontId="5" fillId="0" borderId="1" xfId="0" applyFont="1" applyBorder="1"/>
    <xf numFmtId="0" fontId="9" fillId="0" borderId="0" xfId="0" applyFont="1" applyAlignment="1">
      <alignment horizontal="center"/>
    </xf>
    <xf numFmtId="17" fontId="9" fillId="0" borderId="13" xfId="0" applyNumberFormat="1" applyFont="1" applyBorder="1" applyAlignment="1">
      <alignment horizontal="center"/>
    </xf>
    <xf numFmtId="17" fontId="1" fillId="8" borderId="0" xfId="0" applyNumberFormat="1" applyFont="1" applyFill="1" applyAlignment="1">
      <alignment horizontal="center"/>
    </xf>
    <xf numFmtId="37" fontId="0" fillId="0" borderId="0" xfId="0" applyNumberFormat="1"/>
    <xf numFmtId="37" fontId="0" fillId="0" borderId="14" xfId="0" applyNumberFormat="1" applyBorder="1"/>
    <xf numFmtId="37" fontId="5" fillId="0" borderId="1" xfId="0" applyNumberFormat="1" applyFont="1" applyBorder="1"/>
    <xf numFmtId="0" fontId="5" fillId="2" borderId="0" xfId="0" applyFont="1" applyFill="1"/>
    <xf numFmtId="164" fontId="0" fillId="0" borderId="0" xfId="0" applyNumberFormat="1"/>
    <xf numFmtId="164" fontId="5" fillId="0" borderId="1" xfId="0" applyNumberFormat="1" applyFont="1" applyBorder="1"/>
    <xf numFmtId="164" fontId="0" fillId="0" borderId="14" xfId="0" applyNumberFormat="1" applyBorder="1"/>
    <xf numFmtId="165" fontId="1" fillId="7" borderId="0" xfId="0" applyNumberFormat="1" applyFont="1" applyFill="1" applyAlignment="1">
      <alignment horizontal="center"/>
    </xf>
    <xf numFmtId="1" fontId="0" fillId="0" borderId="0" xfId="0" applyNumberFormat="1"/>
    <xf numFmtId="9" fontId="0" fillId="0" borderId="0" xfId="2" applyFont="1"/>
    <xf numFmtId="17" fontId="0" fillId="0" borderId="0" xfId="0" applyNumberFormat="1"/>
    <xf numFmtId="17" fontId="0" fillId="2" borderId="0" xfId="0" applyNumberFormat="1" applyFill="1"/>
    <xf numFmtId="38" fontId="0" fillId="0" borderId="0" xfId="0" applyNumberFormat="1"/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/>
    <xf numFmtId="0" fontId="5" fillId="0" borderId="2" xfId="0" applyFont="1" applyBorder="1"/>
    <xf numFmtId="38" fontId="5" fillId="0" borderId="2" xfId="0" applyNumberFormat="1" applyFont="1" applyBorder="1"/>
    <xf numFmtId="17" fontId="5" fillId="2" borderId="0" xfId="0" applyNumberFormat="1" applyFont="1" applyFill="1" applyAlignment="1">
      <alignment horizontal="center"/>
    </xf>
    <xf numFmtId="166" fontId="0" fillId="0" borderId="0" xfId="2" applyNumberFormat="1" applyFont="1"/>
    <xf numFmtId="166" fontId="5" fillId="0" borderId="2" xfId="2" applyNumberFormat="1" applyFont="1" applyBorder="1"/>
    <xf numFmtId="17" fontId="0" fillId="2" borderId="0" xfId="0" applyNumberFormat="1" applyFill="1" applyAlignment="1">
      <alignment horizontal="center"/>
    </xf>
    <xf numFmtId="0" fontId="2" fillId="9" borderId="0" xfId="0" applyFont="1" applyFill="1"/>
    <xf numFmtId="0" fontId="0" fillId="10" borderId="0" xfId="0" applyFill="1"/>
    <xf numFmtId="0" fontId="6" fillId="10" borderId="3" xfId="0" applyFont="1" applyFill="1" applyBorder="1"/>
    <xf numFmtId="0" fontId="0" fillId="10" borderId="4" xfId="0" applyFill="1" applyBorder="1"/>
    <xf numFmtId="0" fontId="0" fillId="10" borderId="5" xfId="0" applyFill="1" applyBorder="1"/>
    <xf numFmtId="0" fontId="0" fillId="10" borderId="6" xfId="0" applyFill="1" applyBorder="1"/>
    <xf numFmtId="0" fontId="0" fillId="10" borderId="7" xfId="0" applyFill="1" applyBorder="1"/>
    <xf numFmtId="0" fontId="5" fillId="10" borderId="8" xfId="0" applyFont="1" applyFill="1" applyBorder="1"/>
    <xf numFmtId="0" fontId="0" fillId="10" borderId="9" xfId="0" applyFill="1" applyBorder="1"/>
    <xf numFmtId="0" fontId="3" fillId="10" borderId="0" xfId="0" applyFont="1" applyFill="1"/>
    <xf numFmtId="0" fontId="3" fillId="10" borderId="6" xfId="0" applyFont="1" applyFill="1" applyBorder="1"/>
    <xf numFmtId="0" fontId="0" fillId="10" borderId="10" xfId="0" applyFill="1" applyBorder="1"/>
    <xf numFmtId="0" fontId="0" fillId="10" borderId="11" xfId="0" applyFill="1" applyBorder="1"/>
    <xf numFmtId="0" fontId="0" fillId="10" borderId="12" xfId="0" applyFill="1" applyBorder="1"/>
    <xf numFmtId="0" fontId="1" fillId="9" borderId="0" xfId="0" applyFont="1" applyFill="1"/>
  </cellXfs>
  <cellStyles count="3">
    <cellStyle name="Normal" xfId="0" builtinId="0"/>
    <cellStyle name="Normal 2" xfId="1" xr:uid="{5415461D-6CBF-42DE-962E-677F879F5D9E}"/>
    <cellStyle name="Percent" xfId="2" builtinId="5"/>
  </cellStyles>
  <dxfs count="0"/>
  <tableStyles count="0" defaultTableStyle="TableStyleMedium2" defaultPivotStyle="PivotStyleLight16"/>
  <colors>
    <mruColors>
      <color rgb="FFCC33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Sales</a:t>
            </a:r>
            <a:r>
              <a:rPr lang="en-US" baseline="0"/>
              <a:t> Volume Product Mix &amp; Average Revenue Per Customer over the past 12 months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Analysis!$B$72</c:f>
              <c:strCache>
                <c:ptCount val="1"/>
                <c:pt idx="0">
                  <c:v>Phones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Analysis!$C$72:$N$72</c:f>
              <c:numCache>
                <c:formatCode>0%</c:formatCode>
                <c:ptCount val="12"/>
                <c:pt idx="0">
                  <c:v>0.21</c:v>
                </c:pt>
                <c:pt idx="1">
                  <c:v>0.21005475360876058</c:v>
                </c:pt>
                <c:pt idx="2">
                  <c:v>0.24994020569241809</c:v>
                </c:pt>
                <c:pt idx="3">
                  <c:v>0.24994251552080937</c:v>
                </c:pt>
                <c:pt idx="4">
                  <c:v>0.24001784519295116</c:v>
                </c:pt>
                <c:pt idx="5">
                  <c:v>0.24994691017201104</c:v>
                </c:pt>
                <c:pt idx="6">
                  <c:v>0.25989282769991756</c:v>
                </c:pt>
                <c:pt idx="7">
                  <c:v>0.27</c:v>
                </c:pt>
                <c:pt idx="8">
                  <c:v>0.26</c:v>
                </c:pt>
                <c:pt idx="9">
                  <c:v>0.26002587322121606</c:v>
                </c:pt>
                <c:pt idx="10">
                  <c:v>0.25995694294940797</c:v>
                </c:pt>
                <c:pt idx="11">
                  <c:v>0.25993668659866337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0E-4A26-8934-4C68270A7CA8}"/>
            </c:ext>
          </c:extLst>
        </c:ser>
        <c:ser>
          <c:idx val="1"/>
          <c:order val="1"/>
          <c:tx>
            <c:strRef>
              <c:f>Analysis!$B$73</c:f>
              <c:strCache>
                <c:ptCount val="1"/>
                <c:pt idx="0">
                  <c:v>Laptop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Analysis!$C$73:$N$73</c:f>
              <c:numCache>
                <c:formatCode>0%</c:formatCode>
                <c:ptCount val="12"/>
                <c:pt idx="0">
                  <c:v>0.22</c:v>
                </c:pt>
                <c:pt idx="1">
                  <c:v>0.22000995520159283</c:v>
                </c:pt>
                <c:pt idx="2">
                  <c:v>0.20999760822769672</c:v>
                </c:pt>
                <c:pt idx="3">
                  <c:v>0.22005058634168775</c:v>
                </c:pt>
                <c:pt idx="4">
                  <c:v>0.22997992415792995</c:v>
                </c:pt>
                <c:pt idx="5">
                  <c:v>0.23996602251008706</c:v>
                </c:pt>
                <c:pt idx="6">
                  <c:v>0.25</c:v>
                </c:pt>
                <c:pt idx="7">
                  <c:v>0.25</c:v>
                </c:pt>
                <c:pt idx="8">
                  <c:v>0.26</c:v>
                </c:pt>
                <c:pt idx="9">
                  <c:v>0.26002587322121606</c:v>
                </c:pt>
                <c:pt idx="10">
                  <c:v>0.27000358808754932</c:v>
                </c:pt>
                <c:pt idx="11">
                  <c:v>0.26996130847696098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0E-4A26-8934-4C68270A7CA8}"/>
            </c:ext>
          </c:extLst>
        </c:ser>
        <c:ser>
          <c:idx val="2"/>
          <c:order val="2"/>
          <c:tx>
            <c:strRef>
              <c:f>Analysis!$B$74</c:f>
              <c:strCache>
                <c:ptCount val="1"/>
                <c:pt idx="0">
                  <c:v>Monitors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Analysis!$C$74:$N$74</c:f>
              <c:numCache>
                <c:formatCode>0%</c:formatCode>
                <c:ptCount val="12"/>
                <c:pt idx="0">
                  <c:v>0.05</c:v>
                </c:pt>
                <c:pt idx="1">
                  <c:v>5.0024888003982082E-2</c:v>
                </c:pt>
                <c:pt idx="2">
                  <c:v>6.0033484812245873E-2</c:v>
                </c:pt>
                <c:pt idx="3">
                  <c:v>6.0013796275005749E-2</c:v>
                </c:pt>
                <c:pt idx="4">
                  <c:v>6.0004461298237791E-2</c:v>
                </c:pt>
                <c:pt idx="5">
                  <c:v>6.009768528349968E-2</c:v>
                </c:pt>
                <c:pt idx="6">
                  <c:v>5.0082440230832644E-2</c:v>
                </c:pt>
                <c:pt idx="7">
                  <c:v>0.05</c:v>
                </c:pt>
                <c:pt idx="8">
                  <c:v>0.06</c:v>
                </c:pt>
                <c:pt idx="9">
                  <c:v>7.0042506006283492E-2</c:v>
                </c:pt>
                <c:pt idx="10">
                  <c:v>6.9967707212055974E-2</c:v>
                </c:pt>
                <c:pt idx="11">
                  <c:v>6.9996482588814635E-2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0E-4A26-8934-4C68270A7CA8}"/>
            </c:ext>
          </c:extLst>
        </c:ser>
        <c:ser>
          <c:idx val="3"/>
          <c:order val="3"/>
          <c:tx>
            <c:strRef>
              <c:f>Analysis!$B$75</c:f>
              <c:strCache>
                <c:ptCount val="1"/>
                <c:pt idx="0">
                  <c:v>PC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Analysis!$C$75:$N$75</c:f>
              <c:numCache>
                <c:formatCode>0%</c:formatCode>
                <c:ptCount val="12"/>
                <c:pt idx="0">
                  <c:v>0.14000000000000001</c:v>
                </c:pt>
                <c:pt idx="1">
                  <c:v>0.15007466401194625</c:v>
                </c:pt>
                <c:pt idx="2">
                  <c:v>0.13011241329825401</c:v>
                </c:pt>
                <c:pt idx="3">
                  <c:v>0.1200275925500115</c:v>
                </c:pt>
                <c:pt idx="4">
                  <c:v>0.12000892259647558</c:v>
                </c:pt>
                <c:pt idx="5">
                  <c:v>0.11998301125504353</c:v>
                </c:pt>
                <c:pt idx="6">
                  <c:v>0.11005770816158285</c:v>
                </c:pt>
                <c:pt idx="7">
                  <c:v>0.11</c:v>
                </c:pt>
                <c:pt idx="8">
                  <c:v>0.1</c:v>
                </c:pt>
                <c:pt idx="9">
                  <c:v>9.9981519127702825E-2</c:v>
                </c:pt>
                <c:pt idx="10">
                  <c:v>0.10010764262648009</c:v>
                </c:pt>
                <c:pt idx="11">
                  <c:v>0.10007034822370735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0E-4A26-8934-4C68270A7CA8}"/>
            </c:ext>
          </c:extLst>
        </c:ser>
        <c:ser>
          <c:idx val="4"/>
          <c:order val="4"/>
          <c:tx>
            <c:strRef>
              <c:f>Analysis!$B$76</c:f>
              <c:strCache>
                <c:ptCount val="1"/>
                <c:pt idx="0">
                  <c:v>Accessories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Analysis!$C$76:$N$76</c:f>
              <c:numCache>
                <c:formatCode>0%</c:formatCode>
                <c:ptCount val="12"/>
                <c:pt idx="0">
                  <c:v>0.38</c:v>
                </c:pt>
                <c:pt idx="1">
                  <c:v>0.36983573917371826</c:v>
                </c:pt>
                <c:pt idx="2">
                  <c:v>0.34991628796938529</c:v>
                </c:pt>
                <c:pt idx="3">
                  <c:v>0.34996550931248566</c:v>
                </c:pt>
                <c:pt idx="4">
                  <c:v>0.34998884675440556</c:v>
                </c:pt>
                <c:pt idx="5">
                  <c:v>0.33000637077935868</c:v>
                </c:pt>
                <c:pt idx="6">
                  <c:v>0.32996702390766697</c:v>
                </c:pt>
                <c:pt idx="7">
                  <c:v>0.32</c:v>
                </c:pt>
                <c:pt idx="8">
                  <c:v>0.32</c:v>
                </c:pt>
                <c:pt idx="9">
                  <c:v>0.30992422842358158</c:v>
                </c:pt>
                <c:pt idx="10">
                  <c:v>0.29996411912450666</c:v>
                </c:pt>
                <c:pt idx="11">
                  <c:v>0.30003517411185365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0E-4A26-8934-4C68270A7CA8}"/>
            </c:ext>
          </c:extLst>
        </c:ser>
        <c:ser>
          <c:idx val="5"/>
          <c:order val="5"/>
          <c:tx>
            <c:strRef>
              <c:f>Analysis!$B$77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Analysis!$C$77:$N$77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CB0E-4A26-8934-4C68270A7CA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100"/>
        <c:axId val="124591311"/>
        <c:axId val="124594671"/>
      </c:barChart>
      <c:lineChart>
        <c:grouping val="standard"/>
        <c:varyColors val="0"/>
        <c:ser>
          <c:idx val="6"/>
          <c:order val="6"/>
          <c:tx>
            <c:strRef>
              <c:f>Analysis!$B$78</c:f>
              <c:strCache>
                <c:ptCount val="1"/>
                <c:pt idx="0">
                  <c:v>Average Revenue per Client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Analysis!$C$78:$N$78</c:f>
              <c:numCache>
                <c:formatCode>0.0</c:formatCode>
                <c:ptCount val="12"/>
                <c:pt idx="0">
                  <c:v>3408.7505360972123</c:v>
                </c:pt>
                <c:pt idx="1">
                  <c:v>3490.2591065292095</c:v>
                </c:pt>
                <c:pt idx="2">
                  <c:v>3498.4425363276091</c:v>
                </c:pt>
                <c:pt idx="3">
                  <c:v>3523.0538461538463</c:v>
                </c:pt>
                <c:pt idx="4">
                  <c:v>3260.7782663316584</c:v>
                </c:pt>
                <c:pt idx="5">
                  <c:v>3619.6141304347825</c:v>
                </c:pt>
                <c:pt idx="6">
                  <c:v>3380.9651770168311</c:v>
                </c:pt>
                <c:pt idx="7">
                  <c:v>3588.6786120591582</c:v>
                </c:pt>
                <c:pt idx="8">
                  <c:v>3252.8064516129034</c:v>
                </c:pt>
                <c:pt idx="9">
                  <c:v>3499.497635312664</c:v>
                </c:pt>
                <c:pt idx="10">
                  <c:v>3746.399494949495</c:v>
                </c:pt>
                <c:pt idx="11">
                  <c:v>3494.5534653465347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B0E-4A26-8934-4C68270A7CA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4500591"/>
        <c:axId val="124512591"/>
      </c:lineChart>
      <c:dateAx>
        <c:axId val="124591311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594671"/>
        <c:crosses val="autoZero"/>
        <c:auto val="1"/>
        <c:lblOffset val="100"/>
        <c:baseTimeUnit val="months"/>
      </c:dateAx>
      <c:valAx>
        <c:axId val="124594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591311"/>
        <c:crosses val="autoZero"/>
        <c:crossBetween val="between"/>
      </c:valAx>
      <c:valAx>
        <c:axId val="124512591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500591"/>
        <c:crosses val="max"/>
        <c:crossBetween val="between"/>
      </c:valAx>
      <c:dateAx>
        <c:axId val="124500591"/>
        <c:scaling>
          <c:orientation val="minMax"/>
        </c:scaling>
        <c:delete val="1"/>
        <c:axPos val="b"/>
        <c:numFmt formatCode="[$-409]mmm\-yy;@" sourceLinked="1"/>
        <c:majorTickMark val="out"/>
        <c:minorTickMark val="none"/>
        <c:tickLblPos val="nextTo"/>
        <c:crossAx val="124512591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Price Effect % by Product</a:t>
            </a:r>
            <a:r>
              <a:rPr lang="en-US" baseline="0"/>
              <a:t> (FY24 vs. FY25)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Analysis!$B$154</c:f>
              <c:strCache>
                <c:ptCount val="1"/>
                <c:pt idx="0">
                  <c:v>Phones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Analysis!$C$153:$J$153</c:f>
              <c:strCache>
                <c:ptCount val="8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</c:strCache>
            </c:strRef>
          </c:cat>
          <c:val>
            <c:numRef>
              <c:f>Analysis!$C$154:$J$154</c:f>
              <c:numCache>
                <c:formatCode>0.0%_);\(0.0%\)</c:formatCode>
                <c:ptCount val="8"/>
                <c:pt idx="0">
                  <c:v>0.12002616040976492</c:v>
                </c:pt>
                <c:pt idx="1">
                  <c:v>-0.12530971738288813</c:v>
                </c:pt>
                <c:pt idx="2">
                  <c:v>-0.10958454810495627</c:v>
                </c:pt>
                <c:pt idx="3">
                  <c:v>-5.5088590873847744E-2</c:v>
                </c:pt>
                <c:pt idx="4">
                  <c:v>-8.4752311264836469E-2</c:v>
                </c:pt>
                <c:pt idx="5">
                  <c:v>-2.8462192013593884E-2</c:v>
                </c:pt>
                <c:pt idx="6">
                  <c:v>0.11469557770165058</c:v>
                </c:pt>
                <c:pt idx="7">
                  <c:v>4.8725274725274728E-2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EF-45EE-8313-564E3961A305}"/>
            </c:ext>
          </c:extLst>
        </c:ser>
        <c:ser>
          <c:idx val="1"/>
          <c:order val="1"/>
          <c:tx>
            <c:strRef>
              <c:f>Analysis!$B$155</c:f>
              <c:strCache>
                <c:ptCount val="1"/>
                <c:pt idx="0">
                  <c:v>Laptop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Analysis!$C$153:$J$153</c:f>
              <c:strCache>
                <c:ptCount val="8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</c:strCache>
            </c:strRef>
          </c:cat>
          <c:val>
            <c:numRef>
              <c:f>Analysis!$C$155:$J$155</c:f>
              <c:numCache>
                <c:formatCode>0.0%_);\(0.0%\)</c:formatCode>
                <c:ptCount val="8"/>
                <c:pt idx="0">
                  <c:v>1.8906208883350893E-3</c:v>
                </c:pt>
                <c:pt idx="1">
                  <c:v>0.26272281064324465</c:v>
                </c:pt>
                <c:pt idx="2">
                  <c:v>-0.23493472079162595</c:v>
                </c:pt>
                <c:pt idx="3">
                  <c:v>0.32293161539901416</c:v>
                </c:pt>
                <c:pt idx="4">
                  <c:v>-8.6578873634071171E-2</c:v>
                </c:pt>
                <c:pt idx="5">
                  <c:v>-0.19134933774834437</c:v>
                </c:pt>
                <c:pt idx="6">
                  <c:v>-1.9404712853414954E-2</c:v>
                </c:pt>
                <c:pt idx="7">
                  <c:v>-0.17474560343670292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EF-45EE-8313-564E3961A305}"/>
            </c:ext>
          </c:extLst>
        </c:ser>
        <c:ser>
          <c:idx val="2"/>
          <c:order val="2"/>
          <c:tx>
            <c:strRef>
              <c:f>Analysis!$B$156</c:f>
              <c:strCache>
                <c:ptCount val="1"/>
                <c:pt idx="0">
                  <c:v>Monitors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Analysis!$C$153:$J$153</c:f>
              <c:strCache>
                <c:ptCount val="8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</c:strCache>
            </c:strRef>
          </c:cat>
          <c:val>
            <c:numRef>
              <c:f>Analysis!$C$156:$J$156</c:f>
              <c:numCache>
                <c:formatCode>0.0%_);\(0.0%\)</c:formatCode>
                <c:ptCount val="8"/>
                <c:pt idx="0">
                  <c:v>-0.20479423868312757</c:v>
                </c:pt>
                <c:pt idx="1">
                  <c:v>0.2929925893635571</c:v>
                </c:pt>
                <c:pt idx="2">
                  <c:v>-0.299193618312668</c:v>
                </c:pt>
                <c:pt idx="3">
                  <c:v>0.65402900463414271</c:v>
                </c:pt>
                <c:pt idx="4">
                  <c:v>-0.50372777017783854</c:v>
                </c:pt>
                <c:pt idx="5">
                  <c:v>-0.64474277515884404</c:v>
                </c:pt>
                <c:pt idx="6">
                  <c:v>-0.10694510362284448</c:v>
                </c:pt>
                <c:pt idx="7">
                  <c:v>-0.27916764086976853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EF-45EE-8313-564E3961A305}"/>
            </c:ext>
          </c:extLst>
        </c:ser>
        <c:ser>
          <c:idx val="3"/>
          <c:order val="3"/>
          <c:tx>
            <c:strRef>
              <c:f>Analysis!$B$157</c:f>
              <c:strCache>
                <c:ptCount val="1"/>
                <c:pt idx="0">
                  <c:v>PC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Analysis!$C$153:$J$153</c:f>
              <c:strCache>
                <c:ptCount val="8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</c:strCache>
            </c:strRef>
          </c:cat>
          <c:val>
            <c:numRef>
              <c:f>Analysis!$C$157:$J$157</c:f>
              <c:numCache>
                <c:formatCode>0.0%_);\(0.0%\)</c:formatCode>
                <c:ptCount val="8"/>
                <c:pt idx="0">
                  <c:v>-9.8995606486094751E-3</c:v>
                </c:pt>
                <c:pt idx="1">
                  <c:v>8.639257816165212E-2</c:v>
                </c:pt>
                <c:pt idx="2">
                  <c:v>6.1174049493234552E-2</c:v>
                </c:pt>
                <c:pt idx="3">
                  <c:v>7.4182910438041372E-2</c:v>
                </c:pt>
                <c:pt idx="4">
                  <c:v>-8.7157515943991168E-2</c:v>
                </c:pt>
                <c:pt idx="5">
                  <c:v>4.0489576868314413E-2</c:v>
                </c:pt>
                <c:pt idx="6">
                  <c:v>1.2455573385450639E-2</c:v>
                </c:pt>
                <c:pt idx="7">
                  <c:v>-7.6533219990638471E-4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EF-45EE-8313-564E3961A305}"/>
            </c:ext>
          </c:extLst>
        </c:ser>
        <c:ser>
          <c:idx val="4"/>
          <c:order val="4"/>
          <c:tx>
            <c:strRef>
              <c:f>Analysis!$B$158</c:f>
              <c:strCache>
                <c:ptCount val="1"/>
                <c:pt idx="0">
                  <c:v>Accessories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Analysis!$C$153:$J$153</c:f>
              <c:strCache>
                <c:ptCount val="8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</c:strCache>
            </c:strRef>
          </c:cat>
          <c:val>
            <c:numRef>
              <c:f>Analysis!$C$158:$J$158</c:f>
              <c:numCache>
                <c:formatCode>0.0%_);\(0.0%\)</c:formatCode>
                <c:ptCount val="8"/>
                <c:pt idx="0">
                  <c:v>0.17390701959779153</c:v>
                </c:pt>
                <c:pt idx="1">
                  <c:v>0.15805532953620829</c:v>
                </c:pt>
                <c:pt idx="2">
                  <c:v>4.7758967857409206E-2</c:v>
                </c:pt>
                <c:pt idx="3">
                  <c:v>-0.18686784944453655</c:v>
                </c:pt>
                <c:pt idx="4">
                  <c:v>0.13812756684267874</c:v>
                </c:pt>
                <c:pt idx="5">
                  <c:v>-5.7081588890023488E-2</c:v>
                </c:pt>
                <c:pt idx="6">
                  <c:v>0.45496598639455782</c:v>
                </c:pt>
                <c:pt idx="7">
                  <c:v>0.31851923386447772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EF-45EE-8313-564E3961A3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9584799"/>
        <c:axId val="69575679"/>
      </c:barChart>
      <c:catAx>
        <c:axId val="695847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75679"/>
        <c:crosses val="autoZero"/>
        <c:auto val="1"/>
        <c:lblAlgn val="ctr"/>
        <c:lblOffset val="100"/>
        <c:noMultiLvlLbl val="0"/>
      </c:catAx>
      <c:valAx>
        <c:axId val="69575679"/>
        <c:scaling>
          <c:orientation val="minMax"/>
          <c:max val="1.2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_);\(0.0%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84799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Sales</a:t>
            </a:r>
            <a:r>
              <a:rPr lang="en-US" baseline="0"/>
              <a:t> Volume Product Mix &amp; Average Revenue Per Customer over the past 12 months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Analysis!$B$72</c:f>
              <c:strCache>
                <c:ptCount val="1"/>
                <c:pt idx="0">
                  <c:v>Phones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Analysis!$C$72:$N$72</c:f>
              <c:numCache>
                <c:formatCode>0%</c:formatCode>
                <c:ptCount val="12"/>
                <c:pt idx="0">
                  <c:v>0.21</c:v>
                </c:pt>
                <c:pt idx="1">
                  <c:v>0.21005475360876058</c:v>
                </c:pt>
                <c:pt idx="2">
                  <c:v>0.24994020569241809</c:v>
                </c:pt>
                <c:pt idx="3">
                  <c:v>0.24994251552080937</c:v>
                </c:pt>
                <c:pt idx="4">
                  <c:v>0.24001784519295116</c:v>
                </c:pt>
                <c:pt idx="5">
                  <c:v>0.24994691017201104</c:v>
                </c:pt>
                <c:pt idx="6">
                  <c:v>0.25989282769991756</c:v>
                </c:pt>
                <c:pt idx="7">
                  <c:v>0.27</c:v>
                </c:pt>
                <c:pt idx="8">
                  <c:v>0.26</c:v>
                </c:pt>
                <c:pt idx="9">
                  <c:v>0.26002587322121606</c:v>
                </c:pt>
                <c:pt idx="10">
                  <c:v>0.25995694294940797</c:v>
                </c:pt>
                <c:pt idx="11">
                  <c:v>0.25993668659866337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EF-4D6A-BEB9-D9699A76A574}"/>
            </c:ext>
          </c:extLst>
        </c:ser>
        <c:ser>
          <c:idx val="1"/>
          <c:order val="1"/>
          <c:tx>
            <c:strRef>
              <c:f>Analysis!$B$73</c:f>
              <c:strCache>
                <c:ptCount val="1"/>
                <c:pt idx="0">
                  <c:v>Laptop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Analysis!$C$73:$N$73</c:f>
              <c:numCache>
                <c:formatCode>0%</c:formatCode>
                <c:ptCount val="12"/>
                <c:pt idx="0">
                  <c:v>0.22</c:v>
                </c:pt>
                <c:pt idx="1">
                  <c:v>0.22000995520159283</c:v>
                </c:pt>
                <c:pt idx="2">
                  <c:v>0.20999760822769672</c:v>
                </c:pt>
                <c:pt idx="3">
                  <c:v>0.22005058634168775</c:v>
                </c:pt>
                <c:pt idx="4">
                  <c:v>0.22997992415792995</c:v>
                </c:pt>
                <c:pt idx="5">
                  <c:v>0.23996602251008706</c:v>
                </c:pt>
                <c:pt idx="6">
                  <c:v>0.25</c:v>
                </c:pt>
                <c:pt idx="7">
                  <c:v>0.25</c:v>
                </c:pt>
                <c:pt idx="8">
                  <c:v>0.26</c:v>
                </c:pt>
                <c:pt idx="9">
                  <c:v>0.26002587322121606</c:v>
                </c:pt>
                <c:pt idx="10">
                  <c:v>0.27000358808754932</c:v>
                </c:pt>
                <c:pt idx="11">
                  <c:v>0.26996130847696098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EF-4D6A-BEB9-D9699A76A574}"/>
            </c:ext>
          </c:extLst>
        </c:ser>
        <c:ser>
          <c:idx val="2"/>
          <c:order val="2"/>
          <c:tx>
            <c:strRef>
              <c:f>Analysis!$B$74</c:f>
              <c:strCache>
                <c:ptCount val="1"/>
                <c:pt idx="0">
                  <c:v>Monitors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Analysis!$C$74:$N$74</c:f>
              <c:numCache>
                <c:formatCode>0%</c:formatCode>
                <c:ptCount val="12"/>
                <c:pt idx="0">
                  <c:v>0.05</c:v>
                </c:pt>
                <c:pt idx="1">
                  <c:v>5.0024888003982082E-2</c:v>
                </c:pt>
                <c:pt idx="2">
                  <c:v>6.0033484812245873E-2</c:v>
                </c:pt>
                <c:pt idx="3">
                  <c:v>6.0013796275005749E-2</c:v>
                </c:pt>
                <c:pt idx="4">
                  <c:v>6.0004461298237791E-2</c:v>
                </c:pt>
                <c:pt idx="5">
                  <c:v>6.009768528349968E-2</c:v>
                </c:pt>
                <c:pt idx="6">
                  <c:v>5.0082440230832644E-2</c:v>
                </c:pt>
                <c:pt idx="7">
                  <c:v>0.05</c:v>
                </c:pt>
                <c:pt idx="8">
                  <c:v>0.06</c:v>
                </c:pt>
                <c:pt idx="9">
                  <c:v>7.0042506006283492E-2</c:v>
                </c:pt>
                <c:pt idx="10">
                  <c:v>6.9967707212055974E-2</c:v>
                </c:pt>
                <c:pt idx="11">
                  <c:v>6.9996482588814635E-2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EF-4D6A-BEB9-D9699A76A574}"/>
            </c:ext>
          </c:extLst>
        </c:ser>
        <c:ser>
          <c:idx val="3"/>
          <c:order val="3"/>
          <c:tx>
            <c:strRef>
              <c:f>Analysis!$B$75</c:f>
              <c:strCache>
                <c:ptCount val="1"/>
                <c:pt idx="0">
                  <c:v>PC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Analysis!$C$75:$N$75</c:f>
              <c:numCache>
                <c:formatCode>0%</c:formatCode>
                <c:ptCount val="12"/>
                <c:pt idx="0">
                  <c:v>0.14000000000000001</c:v>
                </c:pt>
                <c:pt idx="1">
                  <c:v>0.15007466401194625</c:v>
                </c:pt>
                <c:pt idx="2">
                  <c:v>0.13011241329825401</c:v>
                </c:pt>
                <c:pt idx="3">
                  <c:v>0.1200275925500115</c:v>
                </c:pt>
                <c:pt idx="4">
                  <c:v>0.12000892259647558</c:v>
                </c:pt>
                <c:pt idx="5">
                  <c:v>0.11998301125504353</c:v>
                </c:pt>
                <c:pt idx="6">
                  <c:v>0.11005770816158285</c:v>
                </c:pt>
                <c:pt idx="7">
                  <c:v>0.11</c:v>
                </c:pt>
                <c:pt idx="8">
                  <c:v>0.1</c:v>
                </c:pt>
                <c:pt idx="9">
                  <c:v>9.9981519127702825E-2</c:v>
                </c:pt>
                <c:pt idx="10">
                  <c:v>0.10010764262648009</c:v>
                </c:pt>
                <c:pt idx="11">
                  <c:v>0.10007034822370735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EF-4D6A-BEB9-D9699A76A574}"/>
            </c:ext>
          </c:extLst>
        </c:ser>
        <c:ser>
          <c:idx val="4"/>
          <c:order val="4"/>
          <c:tx>
            <c:strRef>
              <c:f>Analysis!$B$76</c:f>
              <c:strCache>
                <c:ptCount val="1"/>
                <c:pt idx="0">
                  <c:v>Accessories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Analysis!$C$76:$N$76</c:f>
              <c:numCache>
                <c:formatCode>0%</c:formatCode>
                <c:ptCount val="12"/>
                <c:pt idx="0">
                  <c:v>0.38</c:v>
                </c:pt>
                <c:pt idx="1">
                  <c:v>0.36983573917371826</c:v>
                </c:pt>
                <c:pt idx="2">
                  <c:v>0.34991628796938529</c:v>
                </c:pt>
                <c:pt idx="3">
                  <c:v>0.34996550931248566</c:v>
                </c:pt>
                <c:pt idx="4">
                  <c:v>0.34998884675440556</c:v>
                </c:pt>
                <c:pt idx="5">
                  <c:v>0.33000637077935868</c:v>
                </c:pt>
                <c:pt idx="6">
                  <c:v>0.32996702390766697</c:v>
                </c:pt>
                <c:pt idx="7">
                  <c:v>0.32</c:v>
                </c:pt>
                <c:pt idx="8">
                  <c:v>0.32</c:v>
                </c:pt>
                <c:pt idx="9">
                  <c:v>0.30992422842358158</c:v>
                </c:pt>
                <c:pt idx="10">
                  <c:v>0.29996411912450666</c:v>
                </c:pt>
                <c:pt idx="11">
                  <c:v>0.30003517411185365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EF-4D6A-BEB9-D9699A76A574}"/>
            </c:ext>
          </c:extLst>
        </c:ser>
        <c:ser>
          <c:idx val="5"/>
          <c:order val="5"/>
          <c:tx>
            <c:strRef>
              <c:f>Analysis!$B$77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Analysis!$C$77:$N$77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1FEF-4D6A-BEB9-D9699A76A57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100"/>
        <c:axId val="124591311"/>
        <c:axId val="124594671"/>
      </c:barChart>
      <c:lineChart>
        <c:grouping val="standard"/>
        <c:varyColors val="0"/>
        <c:ser>
          <c:idx val="6"/>
          <c:order val="6"/>
          <c:tx>
            <c:strRef>
              <c:f>Analysis!$B$78</c:f>
              <c:strCache>
                <c:ptCount val="1"/>
                <c:pt idx="0">
                  <c:v>Average Revenue per Client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Analysis!$C$71:$N$71</c:f>
              <c:numCache>
                <c:formatCode>[$-409]mmm\-yy;@</c:formatCode>
                <c:ptCount val="12"/>
                <c:pt idx="0">
                  <c:v>45565</c:v>
                </c:pt>
                <c:pt idx="1">
                  <c:v>45596</c:v>
                </c:pt>
                <c:pt idx="2">
                  <c:v>45626</c:v>
                </c:pt>
                <c:pt idx="3">
                  <c:v>45657</c:v>
                </c:pt>
                <c:pt idx="4">
                  <c:v>45688</c:v>
                </c:pt>
                <c:pt idx="5">
                  <c:v>45716</c:v>
                </c:pt>
                <c:pt idx="6">
                  <c:v>45747</c:v>
                </c:pt>
                <c:pt idx="7">
                  <c:v>45777</c:v>
                </c:pt>
                <c:pt idx="8">
                  <c:v>45808</c:v>
                </c:pt>
                <c:pt idx="9">
                  <c:v>45838</c:v>
                </c:pt>
                <c:pt idx="10">
                  <c:v>45869</c:v>
                </c:pt>
                <c:pt idx="11" formatCode="mmm\-yy">
                  <c:v>45900</c:v>
                </c:pt>
              </c:numCache>
            </c:numRef>
          </c:cat>
          <c:val>
            <c:numRef>
              <c:f>Analysis!$C$78:$N$78</c:f>
              <c:numCache>
                <c:formatCode>0.0</c:formatCode>
                <c:ptCount val="12"/>
                <c:pt idx="0">
                  <c:v>3408.7505360972123</c:v>
                </c:pt>
                <c:pt idx="1">
                  <c:v>3490.2591065292095</c:v>
                </c:pt>
                <c:pt idx="2">
                  <c:v>3498.4425363276091</c:v>
                </c:pt>
                <c:pt idx="3">
                  <c:v>3523.0538461538463</c:v>
                </c:pt>
                <c:pt idx="4">
                  <c:v>3260.7782663316584</c:v>
                </c:pt>
                <c:pt idx="5">
                  <c:v>3619.6141304347825</c:v>
                </c:pt>
                <c:pt idx="6">
                  <c:v>3380.9651770168311</c:v>
                </c:pt>
                <c:pt idx="7">
                  <c:v>3588.6786120591582</c:v>
                </c:pt>
                <c:pt idx="8">
                  <c:v>3252.8064516129034</c:v>
                </c:pt>
                <c:pt idx="9">
                  <c:v>3499.497635312664</c:v>
                </c:pt>
                <c:pt idx="10">
                  <c:v>3746.399494949495</c:v>
                </c:pt>
                <c:pt idx="11">
                  <c:v>3494.5534653465347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FEF-4D6A-BEB9-D9699A76A57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4500591"/>
        <c:axId val="124512591"/>
      </c:lineChart>
      <c:dateAx>
        <c:axId val="124591311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594671"/>
        <c:crosses val="autoZero"/>
        <c:auto val="1"/>
        <c:lblOffset val="100"/>
        <c:baseTimeUnit val="months"/>
      </c:dateAx>
      <c:valAx>
        <c:axId val="124594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591311"/>
        <c:crosses val="autoZero"/>
        <c:crossBetween val="between"/>
      </c:valAx>
      <c:valAx>
        <c:axId val="124512591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500591"/>
        <c:crosses val="max"/>
        <c:crossBetween val="between"/>
      </c:valAx>
      <c:dateAx>
        <c:axId val="124500591"/>
        <c:scaling>
          <c:orientation val="minMax"/>
        </c:scaling>
        <c:delete val="1"/>
        <c:axPos val="b"/>
        <c:numFmt formatCode="[$-409]mmm\-yy;@" sourceLinked="1"/>
        <c:majorTickMark val="out"/>
        <c:minorTickMark val="none"/>
        <c:tickLblPos val="nextTo"/>
        <c:crossAx val="124512591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_xlchart.v5.4</cx:f>
      </cx:strDim>
      <cx:numDim type="val">
        <cx:f>_xlchart.v5.5</cx:f>
      </cx:numDim>
    </cx:data>
  </cx:chartData>
  <cx:chart>
    <cx:title pos="t" align="ctr" overlay="0">
      <cx:tx>
        <cx:txData>
          <cx:v>Revenue Bridge from FY2024 to FY2025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Revenue Bridge from FY2024 to FY2025</a:t>
          </a:r>
        </a:p>
      </cx:txPr>
    </cx:title>
    <cx:plotArea>
      <cx:plotAreaRegion>
        <cx:series layoutId="waterfall" uniqueId="{F8976F16-2AC2-4577-8CF9-BAA197016D03}">
          <cx:dataLabels pos="outEnd">
            <cx:visibility seriesName="0" categoryName="0" value="1"/>
          </cx:dataLabels>
          <cx:dataId val="0"/>
          <cx:layoutPr>
            <cx:subtotals>
              <cx:idx val="0"/>
              <cx:idx val="6"/>
            </cx:subtotals>
          </cx:layoutPr>
        </cx:series>
      </cx:plotAreaRegion>
      <cx:axis id="0">
        <cx:catScaling gapWidth="0.5"/>
        <cx:tickLabels/>
      </cx:axis>
      <cx:axis id="1">
        <cx:valScaling/>
        <cx:majorGridlines>
          <cx:spPr>
            <a:ln>
              <a:noFill/>
            </a:ln>
          </cx:spPr>
        </cx:majorGridlines>
        <cx:tickLabels/>
      </cx:axis>
    </cx:plotArea>
    <cx:legend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  <cx:fmtOvrs>
    <cx:fmtOvr idx="0">
      <cx:spPr>
        <a:solidFill>
          <a:schemeClr val="accent6">
            <a:lumMod val="75000"/>
          </a:schemeClr>
        </a:solidFill>
      </cx:spPr>
    </cx:fmtOvr>
    <cx:fmtOvr idx="1">
      <cx:spPr>
        <a:solidFill>
          <a:srgbClr val="CC3300"/>
        </a:solidFill>
      </cx:spPr>
    </cx:fmtOvr>
    <cx:fmtOvr idx="2">
      <cx:spPr>
        <a:solidFill>
          <a:schemeClr val="accent1">
            <a:lumMod val="75000"/>
          </a:schemeClr>
        </a:solidFill>
      </cx:spPr>
    </cx:fmtOvr>
  </cx:fmtOvrs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_xlchart.v5.0</cx:f>
      </cx:strDim>
      <cx:numDim type="val">
        <cx:f>_xlchart.v5.1</cx:f>
      </cx:numDim>
    </cx:data>
  </cx:chartData>
  <cx:chart>
    <cx:title pos="t" align="ctr" overlay="0">
      <cx:tx>
        <cx:txData>
          <cx:v>Average Revenue Per Customer Bridge from FY2024 to FY2025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Average Revenue Per Customer Bridge from FY2024 to FY2025</a:t>
          </a:r>
        </a:p>
      </cx:txPr>
    </cx:title>
    <cx:plotArea>
      <cx:plotAreaRegion>
        <cx:series layoutId="waterfall" uniqueId="{DEBA1D10-68F8-4132-8BCA-D3424DDBD144}">
          <cx:dataPt idx="4">
            <cx:spPr>
              <a:solidFill>
                <a:srgbClr val="CC3300"/>
              </a:solidFill>
            </cx:spPr>
          </cx:dataPt>
          <cx:dataPt idx="5">
            <cx:spPr>
              <a:solidFill>
                <a:srgbClr val="CC3300"/>
              </a:solidFill>
            </cx:spPr>
          </cx:dataPt>
          <cx:dataLabels>
            <cx:visibility seriesName="0" categoryName="0" value="1"/>
          </cx:dataLabels>
          <cx:dataId val="0"/>
          <cx:layoutPr>
            <cx:subtotals>
              <cx:idx val="0"/>
              <cx:idx val="6"/>
            </cx:subtotals>
          </cx:layoutPr>
        </cx:series>
      </cx:plotAreaRegion>
      <cx:axis id="0">
        <cx:catScaling gapWidth="0.5"/>
        <cx:tickLabels/>
      </cx:axis>
      <cx:axis id="1">
        <cx:valScaling/>
        <cx:majorGridlines>
          <cx:spPr>
            <a:ln>
              <a:noFill/>
            </a:ln>
          </cx:spPr>
        </cx:majorGridlines>
        <cx:tickLabels/>
      </cx:axis>
    </cx:plotArea>
    <cx:legend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  <cx:fmtOvrs>
    <cx:fmtOvr idx="0">
      <cx:spPr>
        <a:solidFill>
          <a:schemeClr val="accent6">
            <a:lumMod val="75000"/>
          </a:schemeClr>
        </a:solidFill>
      </cx:spPr>
    </cx:fmtOvr>
    <cx:fmtOvr idx="1">
      <cx:spPr>
        <a:solidFill>
          <a:srgbClr val="CC3300"/>
        </a:solidFill>
      </cx:spPr>
    </cx:fmtOvr>
    <cx:fmtOvr idx="2">
      <cx:spPr>
        <a:solidFill>
          <a:schemeClr val="accent1">
            <a:lumMod val="75000"/>
          </a:schemeClr>
        </a:solidFill>
      </cx:spPr>
    </cx:fmtOvr>
  </cx:fmtOvrs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_xlchart.v5.12</cx:f>
      </cx:strDim>
      <cx:numDim type="val">
        <cx:f>_xlchart.v5.13</cx:f>
      </cx:numDim>
    </cx:data>
  </cx:chartData>
  <cx:chart>
    <cx:title pos="t" align="ctr" overlay="0">
      <cx:tx>
        <cx:txData>
          <cx:v>Revenue Bridge from FY2024 to FY2025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Revenue Bridge from FY2024 to FY2025</a:t>
          </a:r>
        </a:p>
      </cx:txPr>
    </cx:title>
    <cx:plotArea>
      <cx:plotAreaRegion>
        <cx:series layoutId="waterfall" uniqueId="{F8976F16-2AC2-4577-8CF9-BAA197016D03}">
          <cx:dataLabels pos="outEnd">
            <cx:visibility seriesName="0" categoryName="0" value="1"/>
          </cx:dataLabels>
          <cx:dataId val="0"/>
          <cx:layoutPr>
            <cx:subtotals>
              <cx:idx val="0"/>
              <cx:idx val="6"/>
            </cx:subtotals>
          </cx:layoutPr>
        </cx:series>
      </cx:plotAreaRegion>
      <cx:axis id="0">
        <cx:catScaling gapWidth="0.5"/>
        <cx:tickLabels/>
      </cx:axis>
      <cx:axis id="1">
        <cx:valScaling/>
        <cx:majorGridlines>
          <cx:spPr>
            <a:ln>
              <a:noFill/>
            </a:ln>
          </cx:spPr>
        </cx:majorGridlines>
        <cx:tickLabels/>
      </cx:axis>
    </cx:plotArea>
    <cx:legend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  <cx:fmtOvrs>
    <cx:fmtOvr idx="0">
      <cx:spPr>
        <a:solidFill>
          <a:schemeClr val="accent6">
            <a:lumMod val="75000"/>
          </a:schemeClr>
        </a:solidFill>
      </cx:spPr>
    </cx:fmtOvr>
    <cx:fmtOvr idx="1">
      <cx:spPr>
        <a:solidFill>
          <a:srgbClr val="CC3300"/>
        </a:solidFill>
      </cx:spPr>
    </cx:fmtOvr>
    <cx:fmtOvr idx="2">
      <cx:spPr>
        <a:solidFill>
          <a:schemeClr val="accent1">
            <a:lumMod val="75000"/>
          </a:schemeClr>
        </a:solidFill>
      </cx:spPr>
    </cx:fmtOvr>
  </cx:fmtOvrs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_xlchart.v5.8</cx:f>
      </cx:strDim>
      <cx:numDim type="val">
        <cx:f>_xlchart.v5.9</cx:f>
      </cx:numDim>
    </cx:data>
  </cx:chartData>
  <cx:chart>
    <cx:title pos="t" align="ctr" overlay="0">
      <cx:tx>
        <cx:txData>
          <cx:v>Average Revenue Per Customer Bridge from FY2024 to FY2025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Average Revenue Per Customer Bridge from FY2024 to FY2025</a:t>
          </a:r>
        </a:p>
      </cx:txPr>
    </cx:title>
    <cx:plotArea>
      <cx:plotAreaRegion>
        <cx:series layoutId="waterfall" uniqueId="{DEBA1D10-68F8-4132-8BCA-D3424DDBD144}">
          <cx:dataPt idx="4">
            <cx:spPr>
              <a:solidFill>
                <a:srgbClr val="CC3300"/>
              </a:solidFill>
            </cx:spPr>
          </cx:dataPt>
          <cx:dataPt idx="5">
            <cx:spPr>
              <a:solidFill>
                <a:srgbClr val="CC3300"/>
              </a:solidFill>
            </cx:spPr>
          </cx:dataPt>
          <cx:dataLabels>
            <cx:visibility seriesName="0" categoryName="0" value="1"/>
          </cx:dataLabels>
          <cx:dataId val="0"/>
          <cx:layoutPr>
            <cx:subtotals>
              <cx:idx val="0"/>
              <cx:idx val="6"/>
            </cx:subtotals>
          </cx:layoutPr>
        </cx:series>
      </cx:plotAreaRegion>
      <cx:axis id="0">
        <cx:catScaling gapWidth="0.5"/>
        <cx:tickLabels/>
      </cx:axis>
      <cx:axis id="1">
        <cx:valScaling/>
        <cx:majorGridlines>
          <cx:spPr>
            <a:ln>
              <a:noFill/>
            </a:ln>
          </cx:spPr>
        </cx:majorGridlines>
        <cx:tickLabels/>
      </cx:axis>
    </cx:plotArea>
    <cx:legend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  <cx:fmtOvrs>
    <cx:fmtOvr idx="0">
      <cx:spPr>
        <a:solidFill>
          <a:schemeClr val="accent6">
            <a:lumMod val="75000"/>
          </a:schemeClr>
        </a:solidFill>
      </cx:spPr>
    </cx:fmtOvr>
    <cx:fmtOvr idx="1">
      <cx:spPr>
        <a:solidFill>
          <a:srgbClr val="CC3300"/>
        </a:solidFill>
      </cx:spPr>
    </cx:fmtOvr>
    <cx:fmtOvr idx="2">
      <cx:spPr>
        <a:solidFill>
          <a:schemeClr val="accent1">
            <a:lumMod val="75000"/>
          </a:schemeClr>
        </a:solidFill>
      </cx:spPr>
    </cx:fmtOvr>
  </cx:fmtOvrs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4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microsoft.com/office/2014/relationships/chartEx" Target="../charts/chartEx4.xml"/><Relationship Id="rId4" Type="http://schemas.microsoft.com/office/2014/relationships/chartEx" Target="../charts/chartEx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345966</xdr:colOff>
      <xdr:row>19</xdr:row>
      <xdr:rowOff>84522</xdr:rowOff>
    </xdr:from>
    <xdr:to>
      <xdr:col>12</xdr:col>
      <xdr:colOff>1090706</xdr:colOff>
      <xdr:row>37</xdr:row>
      <xdr:rowOff>82176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D338CCB2-1762-37BC-FB3D-B956F560609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390916" y="3373822"/>
              <a:ext cx="10631690" cy="331235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3</xdr:col>
      <xdr:colOff>381000</xdr:colOff>
      <xdr:row>49</xdr:row>
      <xdr:rowOff>135759</xdr:rowOff>
    </xdr:from>
    <xdr:to>
      <xdr:col>13</xdr:col>
      <xdr:colOff>0</xdr:colOff>
      <xdr:row>66</xdr:row>
      <xdr:rowOff>112059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0DEFF5B1-B344-4DB7-AC5B-EE8CF68346C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425950" y="8835259"/>
              <a:ext cx="10604500" cy="3106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</xdr:col>
      <xdr:colOff>29882</xdr:colOff>
      <xdr:row>80</xdr:row>
      <xdr:rowOff>25398</xdr:rowOff>
    </xdr:from>
    <xdr:to>
      <xdr:col>14</xdr:col>
      <xdr:colOff>37352</xdr:colOff>
      <xdr:row>107</xdr:row>
      <xdr:rowOff>59765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2A2F654-0AC9-9BA2-743D-6AA1FA5DB4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7469</xdr:colOff>
      <xdr:row>160</xdr:row>
      <xdr:rowOff>44823</xdr:rowOff>
    </xdr:from>
    <xdr:to>
      <xdr:col>11</xdr:col>
      <xdr:colOff>29882</xdr:colOff>
      <xdr:row>184</xdr:row>
      <xdr:rowOff>29883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47C1327-7DE0-845E-C8C8-378159D63E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</xdr:row>
      <xdr:rowOff>180975</xdr:rowOff>
    </xdr:from>
    <xdr:to>
      <xdr:col>19</xdr:col>
      <xdr:colOff>9525</xdr:colOff>
      <xdr:row>28</xdr:row>
      <xdr:rowOff>171450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D39DD10-39AA-D683-F83B-14CE55B9EAAF}"/>
            </a:ext>
          </a:extLst>
        </xdr:cNvPr>
        <xdr:cNvSpPr/>
      </xdr:nvSpPr>
      <xdr:spPr>
        <a:xfrm>
          <a:off x="142875" y="514350"/>
          <a:ext cx="10953750" cy="5133975"/>
        </a:xfrm>
        <a:prstGeom prst="rect">
          <a:avLst/>
        </a:prstGeom>
        <a:solidFill>
          <a:schemeClr val="bg1"/>
        </a:solidFill>
        <a:ln w="19050">
          <a:solidFill>
            <a:schemeClr val="tx1">
              <a:lumMod val="95000"/>
              <a:lumOff val="5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xdr:twoCellAnchor>
    <xdr:from>
      <xdr:col>1</xdr:col>
      <xdr:colOff>190500</xdr:colOff>
      <xdr:row>5</xdr:row>
      <xdr:rowOff>19050</xdr:rowOff>
    </xdr:from>
    <xdr:to>
      <xdr:col>12</xdr:col>
      <xdr:colOff>476250</xdr:colOff>
      <xdr:row>27</xdr:row>
      <xdr:rowOff>180975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11482BEF-C71E-850A-60B9-4E6945CEAC4F}"/>
            </a:ext>
          </a:extLst>
        </xdr:cNvPr>
        <xdr:cNvSpPr/>
      </xdr:nvSpPr>
      <xdr:spPr>
        <a:xfrm>
          <a:off x="304800" y="1114425"/>
          <a:ext cx="6991350" cy="4352925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xdr:twoCellAnchor>
    <xdr:from>
      <xdr:col>1</xdr:col>
      <xdr:colOff>123825</xdr:colOff>
      <xdr:row>3</xdr:row>
      <xdr:rowOff>152400</xdr:rowOff>
    </xdr:from>
    <xdr:to>
      <xdr:col>4</xdr:col>
      <xdr:colOff>495300</xdr:colOff>
      <xdr:row>5</xdr:row>
      <xdr:rowOff>57150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356802F8-4A94-DA5B-F054-B3D3F2C01D5E}"/>
            </a:ext>
          </a:extLst>
        </xdr:cNvPr>
        <xdr:cNvSpPr txBox="1"/>
      </xdr:nvSpPr>
      <xdr:spPr>
        <a:xfrm>
          <a:off x="238125" y="866775"/>
          <a:ext cx="22002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 b="1"/>
            <a:t>Graph</a:t>
          </a:r>
        </a:p>
      </xdr:txBody>
    </xdr:sp>
    <xdr:clientData/>
  </xdr:twoCellAnchor>
  <xdr:twoCellAnchor>
    <xdr:from>
      <xdr:col>13</xdr:col>
      <xdr:colOff>171450</xdr:colOff>
      <xdr:row>4</xdr:row>
      <xdr:rowOff>171450</xdr:rowOff>
    </xdr:from>
    <xdr:to>
      <xdr:col>18</xdr:col>
      <xdr:colOff>304800</xdr:colOff>
      <xdr:row>27</xdr:row>
      <xdr:rowOff>171450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38D977D-A552-06F8-A5F1-B5EEB1BA3516}"/>
            </a:ext>
          </a:extLst>
        </xdr:cNvPr>
        <xdr:cNvSpPr txBox="1"/>
      </xdr:nvSpPr>
      <xdr:spPr>
        <a:xfrm>
          <a:off x="7600950" y="1076325"/>
          <a:ext cx="3181350" cy="4381500"/>
        </a:xfrm>
        <a:prstGeom prst="rect">
          <a:avLst/>
        </a:prstGeom>
        <a:solidFill>
          <a:schemeClr val="lt1"/>
        </a:solidFill>
        <a:ln w="12700" cmpd="sng">
          <a:solidFill>
            <a:schemeClr val="bg1">
              <a:lumMod val="65000"/>
            </a:schemeClr>
          </a:solidFill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/>
            <a:t>Revenue</a:t>
          </a:r>
          <a:r>
            <a:rPr lang="en-CA" sz="1100" baseline="0"/>
            <a:t> grew by 60% from around $31M to $50M in the 2025 fiscal year. </a:t>
          </a:r>
        </a:p>
        <a:p>
          <a:endParaRPr lang="en-CA" sz="1100" baseline="0"/>
        </a:p>
        <a:p>
          <a:r>
            <a:rPr lang="en-CA" sz="1100" baseline="0"/>
            <a:t>The increase is primarily driven by higher Laptop sales in the year. </a:t>
          </a:r>
          <a:endParaRPr lang="en-CA" sz="1100"/>
        </a:p>
      </xdr:txBody>
    </xdr:sp>
    <xdr:clientData/>
  </xdr:twoCellAnchor>
  <xdr:twoCellAnchor>
    <xdr:from>
      <xdr:col>13</xdr:col>
      <xdr:colOff>123825</xdr:colOff>
      <xdr:row>3</xdr:row>
      <xdr:rowOff>104775</xdr:rowOff>
    </xdr:from>
    <xdr:to>
      <xdr:col>16</xdr:col>
      <xdr:colOff>495300</xdr:colOff>
      <xdr:row>5</xdr:row>
      <xdr:rowOff>9525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8A96A2BC-6825-4405-AB75-EE8EBE85307C}"/>
            </a:ext>
          </a:extLst>
        </xdr:cNvPr>
        <xdr:cNvSpPr txBox="1"/>
      </xdr:nvSpPr>
      <xdr:spPr>
        <a:xfrm>
          <a:off x="7553325" y="819150"/>
          <a:ext cx="22002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 b="1"/>
            <a:t>Commentary</a:t>
          </a:r>
        </a:p>
      </xdr:txBody>
    </xdr:sp>
    <xdr:clientData/>
  </xdr:twoCellAnchor>
  <xdr:twoCellAnchor>
    <xdr:from>
      <xdr:col>1</xdr:col>
      <xdr:colOff>0</xdr:colOff>
      <xdr:row>30</xdr:row>
      <xdr:rowOff>0</xdr:rowOff>
    </xdr:from>
    <xdr:to>
      <xdr:col>18</xdr:col>
      <xdr:colOff>590550</xdr:colOff>
      <xdr:row>56</xdr:row>
      <xdr:rowOff>180975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9B717F8F-0453-4A98-9DCB-AA0450D67C1D}"/>
            </a:ext>
          </a:extLst>
        </xdr:cNvPr>
        <xdr:cNvSpPr/>
      </xdr:nvSpPr>
      <xdr:spPr>
        <a:xfrm>
          <a:off x="114300" y="5857875"/>
          <a:ext cx="10953750" cy="5133975"/>
        </a:xfrm>
        <a:prstGeom prst="rect">
          <a:avLst/>
        </a:prstGeom>
        <a:solidFill>
          <a:schemeClr val="bg1"/>
        </a:solidFill>
        <a:ln w="19050">
          <a:solidFill>
            <a:schemeClr val="tx1">
              <a:lumMod val="95000"/>
              <a:lumOff val="5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xdr:twoCellAnchor>
    <xdr:from>
      <xdr:col>1</xdr:col>
      <xdr:colOff>161925</xdr:colOff>
      <xdr:row>33</xdr:row>
      <xdr:rowOff>28575</xdr:rowOff>
    </xdr:from>
    <xdr:to>
      <xdr:col>12</xdr:col>
      <xdr:colOff>447675</xdr:colOff>
      <xdr:row>56</xdr:row>
      <xdr:rowOff>0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3601F2D6-90C1-4469-A64A-2668E02FF951}"/>
            </a:ext>
          </a:extLst>
        </xdr:cNvPr>
        <xdr:cNvSpPr/>
      </xdr:nvSpPr>
      <xdr:spPr>
        <a:xfrm>
          <a:off x="276225" y="6457950"/>
          <a:ext cx="6991350" cy="4352925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xdr:twoCellAnchor>
    <xdr:from>
      <xdr:col>1</xdr:col>
      <xdr:colOff>95250</xdr:colOff>
      <xdr:row>31</xdr:row>
      <xdr:rowOff>161925</xdr:rowOff>
    </xdr:from>
    <xdr:to>
      <xdr:col>4</xdr:col>
      <xdr:colOff>466725</xdr:colOff>
      <xdr:row>33</xdr:row>
      <xdr:rowOff>66675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39890C9F-40B4-4025-AA82-74C1C61FACCF}"/>
            </a:ext>
          </a:extLst>
        </xdr:cNvPr>
        <xdr:cNvSpPr txBox="1"/>
      </xdr:nvSpPr>
      <xdr:spPr>
        <a:xfrm>
          <a:off x="209550" y="6210300"/>
          <a:ext cx="22002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 b="1"/>
            <a:t>Graph</a:t>
          </a:r>
        </a:p>
      </xdr:txBody>
    </xdr:sp>
    <xdr:clientData/>
  </xdr:twoCellAnchor>
  <xdr:twoCellAnchor>
    <xdr:from>
      <xdr:col>13</xdr:col>
      <xdr:colOff>142875</xdr:colOff>
      <xdr:row>32</xdr:row>
      <xdr:rowOff>180975</xdr:rowOff>
    </xdr:from>
    <xdr:to>
      <xdr:col>18</xdr:col>
      <xdr:colOff>276225</xdr:colOff>
      <xdr:row>55</xdr:row>
      <xdr:rowOff>180975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E90889DE-3473-49C9-8792-986821FE40DC}"/>
            </a:ext>
          </a:extLst>
        </xdr:cNvPr>
        <xdr:cNvSpPr txBox="1"/>
      </xdr:nvSpPr>
      <xdr:spPr>
        <a:xfrm>
          <a:off x="7572375" y="6419850"/>
          <a:ext cx="3181350" cy="4381500"/>
        </a:xfrm>
        <a:prstGeom prst="rect">
          <a:avLst/>
        </a:prstGeom>
        <a:solidFill>
          <a:schemeClr val="lt1"/>
        </a:solidFill>
        <a:ln w="12700" cmpd="sng">
          <a:solidFill>
            <a:schemeClr val="bg1">
              <a:lumMod val="65000"/>
            </a:schemeClr>
          </a:solidFill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/>
            <a:t>Average</a:t>
          </a:r>
          <a:r>
            <a:rPr lang="en-CA" sz="1100" baseline="0"/>
            <a:t> revenue per client increased from 25k to 27k over the 8-month period. </a:t>
          </a:r>
        </a:p>
        <a:p>
          <a:endParaRPr lang="en-CA" sz="1100" baseline="0"/>
        </a:p>
        <a:p>
          <a:r>
            <a:rPr lang="en-CA" sz="1100" baseline="0"/>
            <a:t>The increase is mainly driven by higher average revenue from Laptop sales, and it is partially offset by the reduction of PC sales. </a:t>
          </a:r>
          <a:endParaRPr lang="en-CA" sz="1100"/>
        </a:p>
      </xdr:txBody>
    </xdr:sp>
    <xdr:clientData/>
  </xdr:twoCellAnchor>
  <xdr:twoCellAnchor>
    <xdr:from>
      <xdr:col>13</xdr:col>
      <xdr:colOff>95250</xdr:colOff>
      <xdr:row>31</xdr:row>
      <xdr:rowOff>114300</xdr:rowOff>
    </xdr:from>
    <xdr:to>
      <xdr:col>16</xdr:col>
      <xdr:colOff>466725</xdr:colOff>
      <xdr:row>33</xdr:row>
      <xdr:rowOff>19050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3466BB7-E86C-42BD-A941-B95F3C3F85B1}"/>
            </a:ext>
          </a:extLst>
        </xdr:cNvPr>
        <xdr:cNvSpPr txBox="1"/>
      </xdr:nvSpPr>
      <xdr:spPr>
        <a:xfrm>
          <a:off x="7524750" y="6162675"/>
          <a:ext cx="22002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 b="1"/>
            <a:t>Commentary</a:t>
          </a:r>
        </a:p>
      </xdr:txBody>
    </xdr:sp>
    <xdr:clientData/>
  </xdr:twoCellAnchor>
  <xdr:twoCellAnchor>
    <xdr:from>
      <xdr:col>1</xdr:col>
      <xdr:colOff>28574</xdr:colOff>
      <xdr:row>58</xdr:row>
      <xdr:rowOff>50800</xdr:rowOff>
    </xdr:from>
    <xdr:to>
      <xdr:col>26</xdr:col>
      <xdr:colOff>165099</xdr:colOff>
      <xdr:row>84</xdr:row>
      <xdr:rowOff>180975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91259197-6205-43BF-A49C-358EF92D65A9}"/>
            </a:ext>
          </a:extLst>
        </xdr:cNvPr>
        <xdr:cNvSpPr/>
      </xdr:nvSpPr>
      <xdr:spPr>
        <a:xfrm>
          <a:off x="149224" y="10877550"/>
          <a:ext cx="15376525" cy="4918075"/>
        </a:xfrm>
        <a:prstGeom prst="rect">
          <a:avLst/>
        </a:prstGeom>
        <a:solidFill>
          <a:schemeClr val="bg1"/>
        </a:solidFill>
        <a:ln w="19050">
          <a:solidFill>
            <a:schemeClr val="tx1">
              <a:lumMod val="95000"/>
              <a:lumOff val="5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xdr:twoCellAnchor>
    <xdr:from>
      <xdr:col>1</xdr:col>
      <xdr:colOff>190500</xdr:colOff>
      <xdr:row>61</xdr:row>
      <xdr:rowOff>31750</xdr:rowOff>
    </xdr:from>
    <xdr:to>
      <xdr:col>19</xdr:col>
      <xdr:colOff>190500</xdr:colOff>
      <xdr:row>84</xdr:row>
      <xdr:rowOff>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7A9D0416-3D43-4E1E-8AAA-D4624212C540}"/>
            </a:ext>
          </a:extLst>
        </xdr:cNvPr>
        <xdr:cNvSpPr/>
      </xdr:nvSpPr>
      <xdr:spPr>
        <a:xfrm>
          <a:off x="311150" y="11410950"/>
          <a:ext cx="10972800" cy="4203700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xdr:twoCellAnchor>
    <xdr:from>
      <xdr:col>1</xdr:col>
      <xdr:colOff>123825</xdr:colOff>
      <xdr:row>59</xdr:row>
      <xdr:rowOff>161925</xdr:rowOff>
    </xdr:from>
    <xdr:to>
      <xdr:col>4</xdr:col>
      <xdr:colOff>495300</xdr:colOff>
      <xdr:row>61</xdr:row>
      <xdr:rowOff>66675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1C694102-E31A-462F-9991-CC63C1266EA5}"/>
            </a:ext>
          </a:extLst>
        </xdr:cNvPr>
        <xdr:cNvSpPr txBox="1"/>
      </xdr:nvSpPr>
      <xdr:spPr>
        <a:xfrm>
          <a:off x="238125" y="11544300"/>
          <a:ext cx="220027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 b="1"/>
            <a:t>Graph</a:t>
          </a:r>
        </a:p>
      </xdr:txBody>
    </xdr:sp>
    <xdr:clientData/>
  </xdr:twoCellAnchor>
  <xdr:twoCellAnchor>
    <xdr:from>
      <xdr:col>19</xdr:col>
      <xdr:colOff>438150</xdr:colOff>
      <xdr:row>61</xdr:row>
      <xdr:rowOff>15874</xdr:rowOff>
    </xdr:from>
    <xdr:to>
      <xdr:col>26</xdr:col>
      <xdr:colOff>31750</xdr:colOff>
      <xdr:row>84</xdr:row>
      <xdr:rowOff>63499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7644161B-A5C3-47CD-9CE4-A8F4B7990DD6}"/>
            </a:ext>
          </a:extLst>
        </xdr:cNvPr>
        <xdr:cNvSpPr txBox="1"/>
      </xdr:nvSpPr>
      <xdr:spPr>
        <a:xfrm>
          <a:off x="11531600" y="11395074"/>
          <a:ext cx="3860800" cy="4283075"/>
        </a:xfrm>
        <a:prstGeom prst="rect">
          <a:avLst/>
        </a:prstGeom>
        <a:solidFill>
          <a:schemeClr val="lt1"/>
        </a:solidFill>
        <a:ln w="12700" cmpd="sng">
          <a:solidFill>
            <a:schemeClr val="bg1">
              <a:lumMod val="65000"/>
            </a:schemeClr>
          </a:solidFill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/>
            <a:t>The sales</a:t>
          </a:r>
          <a:r>
            <a:rPr lang="en-CA" sz="1100" baseline="0"/>
            <a:t> volumn product mix has shifted over the 12-month period.</a:t>
          </a:r>
        </a:p>
        <a:p>
          <a:endParaRPr lang="en-CA" sz="1100" baseline="0"/>
        </a:p>
        <a:p>
          <a:r>
            <a:rPr lang="en-CA" sz="1100" baseline="0"/>
            <a:t>The demand from the two main categories, Accessories and PC have dropped. Laptop and Phones are the two that gain higher demand over time. </a:t>
          </a:r>
        </a:p>
        <a:p>
          <a:endParaRPr lang="en-CA" sz="1100" baseline="0"/>
        </a:p>
        <a:p>
          <a:r>
            <a:rPr lang="en-CA" sz="1100" baseline="0"/>
            <a:t>Further investigation is necessary to determine the price and volume impacts on revenue.</a:t>
          </a:r>
        </a:p>
      </xdr:txBody>
    </xdr:sp>
    <xdr:clientData/>
  </xdr:twoCellAnchor>
  <xdr:twoCellAnchor>
    <xdr:from>
      <xdr:col>19</xdr:col>
      <xdr:colOff>409575</xdr:colOff>
      <xdr:row>59</xdr:row>
      <xdr:rowOff>133350</xdr:rowOff>
    </xdr:from>
    <xdr:to>
      <xdr:col>23</xdr:col>
      <xdr:colOff>171450</xdr:colOff>
      <xdr:row>61</xdr:row>
      <xdr:rowOff>38100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621B883F-67E5-46AE-81D4-DAC1FD8A7726}"/>
            </a:ext>
          </a:extLst>
        </xdr:cNvPr>
        <xdr:cNvSpPr txBox="1"/>
      </xdr:nvSpPr>
      <xdr:spPr>
        <a:xfrm>
          <a:off x="11503025" y="11144250"/>
          <a:ext cx="2200275" cy="273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 b="1"/>
            <a:t>Commentary</a:t>
          </a:r>
        </a:p>
      </xdr:txBody>
    </xdr:sp>
    <xdr:clientData/>
  </xdr:twoCellAnchor>
  <xdr:twoCellAnchor>
    <xdr:from>
      <xdr:col>1</xdr:col>
      <xdr:colOff>44450</xdr:colOff>
      <xdr:row>86</xdr:row>
      <xdr:rowOff>165100</xdr:rowOff>
    </xdr:from>
    <xdr:to>
      <xdr:col>26</xdr:col>
      <xdr:colOff>222250</xdr:colOff>
      <xdr:row>122</xdr:row>
      <xdr:rowOff>101600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A935201-E55F-4735-9322-1B8103A792E0}"/>
            </a:ext>
          </a:extLst>
        </xdr:cNvPr>
        <xdr:cNvSpPr/>
      </xdr:nvSpPr>
      <xdr:spPr>
        <a:xfrm>
          <a:off x="165100" y="16148050"/>
          <a:ext cx="15417800" cy="6565900"/>
        </a:xfrm>
        <a:prstGeom prst="rect">
          <a:avLst/>
        </a:prstGeom>
        <a:solidFill>
          <a:schemeClr val="bg1"/>
        </a:solidFill>
        <a:ln w="19050">
          <a:solidFill>
            <a:schemeClr val="tx1">
              <a:lumMod val="95000"/>
              <a:lumOff val="5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xdr:twoCellAnchor>
    <xdr:from>
      <xdr:col>1</xdr:col>
      <xdr:colOff>165100</xdr:colOff>
      <xdr:row>87</xdr:row>
      <xdr:rowOff>171450</xdr:rowOff>
    </xdr:from>
    <xdr:to>
      <xdr:col>4</xdr:col>
      <xdr:colOff>536575</xdr:colOff>
      <xdr:row>89</xdr:row>
      <xdr:rowOff>76200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4103249E-C69D-4687-97CF-18B406AA96F2}"/>
            </a:ext>
          </a:extLst>
        </xdr:cNvPr>
        <xdr:cNvSpPr txBox="1"/>
      </xdr:nvSpPr>
      <xdr:spPr>
        <a:xfrm>
          <a:off x="285750" y="16338550"/>
          <a:ext cx="2200275" cy="273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 b="1"/>
            <a:t>Graph</a:t>
          </a:r>
        </a:p>
      </xdr:txBody>
    </xdr:sp>
    <xdr:clientData/>
  </xdr:twoCellAnchor>
  <xdr:twoCellAnchor>
    <xdr:from>
      <xdr:col>1</xdr:col>
      <xdr:colOff>228600</xdr:colOff>
      <xdr:row>89</xdr:row>
      <xdr:rowOff>95250</xdr:rowOff>
    </xdr:from>
    <xdr:to>
      <xdr:col>19</xdr:col>
      <xdr:colOff>228600</xdr:colOff>
      <xdr:row>116</xdr:row>
      <xdr:rowOff>12700</xdr:rowOff>
    </xdr:to>
    <xdr:sp macro="" textlink="">
      <xdr:nvSpPr>
        <xdr:cNvPr id="22" name="Rectangle 21">
          <a:extLst>
            <a:ext uri="{FF2B5EF4-FFF2-40B4-BE49-F238E27FC236}">
              <a16:creationId xmlns:a16="http://schemas.microsoft.com/office/drawing/2014/main" id="{37022223-9C47-4719-B99D-CA8AC6DB2F6C}"/>
            </a:ext>
          </a:extLst>
        </xdr:cNvPr>
        <xdr:cNvSpPr/>
      </xdr:nvSpPr>
      <xdr:spPr>
        <a:xfrm>
          <a:off x="349250" y="16630650"/>
          <a:ext cx="10972800" cy="4889500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xdr:twoCellAnchor>
    <xdr:from>
      <xdr:col>19</xdr:col>
      <xdr:colOff>349250</xdr:colOff>
      <xdr:row>87</xdr:row>
      <xdr:rowOff>177800</xdr:rowOff>
    </xdr:from>
    <xdr:to>
      <xdr:col>23</xdr:col>
      <xdr:colOff>111125</xdr:colOff>
      <xdr:row>89</xdr:row>
      <xdr:rowOff>82550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E0E1E143-C360-4BE5-8C3C-1EBBE19F7CBE}"/>
            </a:ext>
          </a:extLst>
        </xdr:cNvPr>
        <xdr:cNvSpPr txBox="1"/>
      </xdr:nvSpPr>
      <xdr:spPr>
        <a:xfrm>
          <a:off x="11442700" y="16344900"/>
          <a:ext cx="2200275" cy="273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 b="1"/>
            <a:t>Commentary</a:t>
          </a:r>
        </a:p>
      </xdr:txBody>
    </xdr:sp>
    <xdr:clientData/>
  </xdr:twoCellAnchor>
  <xdr:twoCellAnchor>
    <xdr:from>
      <xdr:col>19</xdr:col>
      <xdr:colOff>450850</xdr:colOff>
      <xdr:row>89</xdr:row>
      <xdr:rowOff>88900</xdr:rowOff>
    </xdr:from>
    <xdr:to>
      <xdr:col>26</xdr:col>
      <xdr:colOff>76200</xdr:colOff>
      <xdr:row>121</xdr:row>
      <xdr:rowOff>127000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ABCE8D5A-96BA-4284-9871-0B7B03DBBFB8}"/>
            </a:ext>
          </a:extLst>
        </xdr:cNvPr>
        <xdr:cNvSpPr txBox="1"/>
      </xdr:nvSpPr>
      <xdr:spPr>
        <a:xfrm>
          <a:off x="11544300" y="16624300"/>
          <a:ext cx="3892550" cy="5930900"/>
        </a:xfrm>
        <a:prstGeom prst="rect">
          <a:avLst/>
        </a:prstGeom>
        <a:solidFill>
          <a:schemeClr val="lt1"/>
        </a:solidFill>
        <a:ln w="12700" cmpd="sng">
          <a:solidFill>
            <a:schemeClr val="bg1">
              <a:lumMod val="65000"/>
            </a:schemeClr>
          </a:solidFill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100" b="1" baseline="0"/>
            <a:t>Price Effect:</a:t>
          </a:r>
        </a:p>
        <a:p>
          <a:r>
            <a:rPr lang="en-CA" sz="1100" b="0" baseline="0"/>
            <a:t>Pricing was a net drag on revenue in FY2025 (−0.7% overall), confirming that growth this year was volume-driven, not price-driven.</a:t>
          </a:r>
        </a:p>
        <a:p>
          <a:endParaRPr lang="en-CA" sz="1100" b="0" baseline="0"/>
        </a:p>
        <a:p>
          <a:r>
            <a:rPr lang="en-CA" sz="1100" b="0" baseline="0"/>
            <a:t>Accessories was the standout, delivering positive price contributions in 6 of 8 months — particularly in July (+45.5%) and August (+31.9%) — reflecting genuine pricing power. </a:t>
          </a:r>
        </a:p>
        <a:p>
          <a:endParaRPr lang="en-CA" sz="1100" b="0" baseline="0"/>
        </a:p>
        <a:p>
          <a:r>
            <a:rPr lang="en-CA" sz="1100" b="0" baseline="0"/>
            <a:t>Monitors, by contrast, showed price erosion in 5 of 8 months, hitting −64.5% in June. This is a consistent pattern that requires investigation and a clear mitigation strategy.</a:t>
          </a:r>
        </a:p>
        <a:p>
          <a:endParaRPr lang="en-CA" sz="1100" b="1" baseline="0"/>
        </a:p>
        <a:p>
          <a:r>
            <a:rPr lang="en-CA" sz="1100" b="1" baseline="0"/>
            <a:t>Volume Effect:</a:t>
          </a:r>
        </a:p>
        <a:p>
          <a:r>
            <a:rPr lang="en-CA" sz="1100" b="0" baseline="0"/>
            <a:t>Volume accounted for 101% of the $18.8M revenue delta (+$19.0M), with pricing contributing −$0.2M. Every dollar of growth came from selling more units.</a:t>
          </a:r>
        </a:p>
        <a:p>
          <a:endParaRPr lang="en-CA" sz="1100" b="0" baseline="0"/>
        </a:p>
        <a:p>
          <a:r>
            <a:rPr lang="en-CA" sz="1100" b="0" baseline="0"/>
            <a:t>Monitors tripled its unit volume in January (+198.9%) and February (+204.3%), sustained throughout the period. However, given simultaneous price erosion, profitability of this growth is questionable and warrants urgent review.</a:t>
          </a:r>
        </a:p>
        <a:p>
          <a:endParaRPr lang="en-CA" sz="1100" b="0" baseline="0"/>
        </a:p>
        <a:p>
          <a:r>
            <a:rPr lang="en-CA" sz="1100" b="0" baseline="0"/>
            <a:t>Laptop is the portfolio's growth engine — unit volumes nearly doubled every single month (92%–108%), contributing $12.0M in Volume Effect, or 63% of total revenue growth. The consistency across all eight months points to a structural shift in demand rather than a one-off spike.</a:t>
          </a:r>
        </a:p>
        <a:p>
          <a:endParaRPr lang="en-CA" sz="1100" b="1" baseline="0"/>
        </a:p>
        <a:p>
          <a:r>
            <a:rPr lang="en-CA" sz="1100" b="1" baseline="0"/>
            <a:t>Bottom Line: </a:t>
          </a:r>
          <a:r>
            <a:rPr lang="en-CA" sz="1100" b="0" baseline="0"/>
            <a:t>Volume momentum is strong and accelerating. The immediate priority is Monitors — explosive unit growth combined with persistent price erosion is a combination that may be destroying rather than creating value.</a:t>
          </a:r>
        </a:p>
        <a:p>
          <a:endParaRPr lang="en-CA" sz="1100" baseline="0"/>
        </a:p>
      </xdr:txBody>
    </xdr:sp>
    <xdr:clientData/>
  </xdr:twoCellAnchor>
  <xdr:twoCellAnchor editAs="oneCell">
    <xdr:from>
      <xdr:col>1</xdr:col>
      <xdr:colOff>260350</xdr:colOff>
      <xdr:row>90</xdr:row>
      <xdr:rowOff>50800</xdr:rowOff>
    </xdr:from>
    <xdr:to>
      <xdr:col>19</xdr:col>
      <xdr:colOff>192029</xdr:colOff>
      <xdr:row>100</xdr:row>
      <xdr:rowOff>152400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9B0306B3-A413-AAD9-E9DE-362DB3A7C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16770350"/>
          <a:ext cx="10904479" cy="1943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298450</xdr:colOff>
      <xdr:row>103</xdr:row>
      <xdr:rowOff>69851</xdr:rowOff>
    </xdr:from>
    <xdr:to>
      <xdr:col>19</xdr:col>
      <xdr:colOff>151308</xdr:colOff>
      <xdr:row>114</xdr:row>
      <xdr:rowOff>82551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BCA5C81-D740-9D49-CA48-59BB6C8FD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9183351"/>
          <a:ext cx="10825658" cy="2038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209550</xdr:colOff>
      <xdr:row>61</xdr:row>
      <xdr:rowOff>82550</xdr:rowOff>
    </xdr:from>
    <xdr:to>
      <xdr:col>19</xdr:col>
      <xdr:colOff>171450</xdr:colOff>
      <xdr:row>83</xdr:row>
      <xdr:rowOff>101600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59E99243-3AFA-410F-889F-6690325C5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209550</xdr:colOff>
      <xdr:row>5</xdr:row>
      <xdr:rowOff>57150</xdr:rowOff>
    </xdr:from>
    <xdr:to>
      <xdr:col>12</xdr:col>
      <xdr:colOff>438150</xdr:colOff>
      <xdr:row>27</xdr:row>
      <xdr:rowOff>101600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18" name="Chart 17">
              <a:extLst>
                <a:ext uri="{FF2B5EF4-FFF2-40B4-BE49-F238E27FC236}">
                  <a16:creationId xmlns:a16="http://schemas.microsoft.com/office/drawing/2014/main" id="{5DA90870-7350-4DB4-ADDD-D05DCA4478B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0200" y="1123950"/>
              <a:ext cx="6934200" cy="4095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</xdr:col>
      <xdr:colOff>206375</xdr:colOff>
      <xdr:row>33</xdr:row>
      <xdr:rowOff>76200</xdr:rowOff>
    </xdr:from>
    <xdr:to>
      <xdr:col>12</xdr:col>
      <xdr:colOff>431800</xdr:colOff>
      <xdr:row>55</xdr:row>
      <xdr:rowOff>139700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19" name="Chart 18">
              <a:extLst>
                <a:ext uri="{FF2B5EF4-FFF2-40B4-BE49-F238E27FC236}">
                  <a16:creationId xmlns:a16="http://schemas.microsoft.com/office/drawing/2014/main" id="{36551798-91BF-49CA-A5BE-CEE0B89CE3A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27025" y="6299200"/>
              <a:ext cx="6931025" cy="4114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17626-939D-4F2F-BE5B-E7002377CAF6}">
  <dimension ref="B1:Y35"/>
  <sheetViews>
    <sheetView showGridLines="0" workbookViewId="0">
      <selection activeCell="B5" sqref="B5"/>
    </sheetView>
  </sheetViews>
  <sheetFormatPr defaultColWidth="8.81640625" defaultRowHeight="15" customHeight="1" zeroHeight="1"/>
  <cols>
    <col min="1" max="1" width="1.7265625" style="4" customWidth="1"/>
    <col min="2" max="3" width="3.7265625" style="4" customWidth="1"/>
    <col min="4" max="24" width="8.81640625" style="4"/>
    <col min="25" max="25" width="1.7265625" style="4" customWidth="1"/>
    <col min="26" max="16384" width="8.81640625" style="4"/>
  </cols>
  <sheetData>
    <row r="1" spans="2:25" s="40" customFormat="1" thickBot="1"/>
    <row r="2" spans="2:25" s="40" customFormat="1" ht="19.5">
      <c r="B2" s="41" t="s">
        <v>16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3"/>
    </row>
    <row r="3" spans="2:25" s="40" customFormat="1" ht="4.9000000000000004" customHeight="1">
      <c r="B3" s="44"/>
      <c r="Y3" s="45"/>
    </row>
    <row r="4" spans="2:25" s="40" customFormat="1" ht="14.5">
      <c r="B4" s="44" t="s">
        <v>66</v>
      </c>
      <c r="Y4" s="45"/>
    </row>
    <row r="5" spans="2:25" s="40" customFormat="1" ht="14.5">
      <c r="B5" s="44" t="s">
        <v>26</v>
      </c>
      <c r="Y5" s="45"/>
    </row>
    <row r="6" spans="2:25" s="40" customFormat="1" ht="14.5">
      <c r="B6" s="44" t="s">
        <v>27</v>
      </c>
      <c r="Y6" s="45"/>
    </row>
    <row r="7" spans="2:25" s="40" customFormat="1" ht="5.15" customHeight="1">
      <c r="B7" s="44"/>
      <c r="Y7" s="45"/>
    </row>
    <row r="8" spans="2:25" s="40" customFormat="1" thickBot="1">
      <c r="B8" s="46" t="s">
        <v>17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5"/>
    </row>
    <row r="9" spans="2:25" s="40" customFormat="1" ht="14.5">
      <c r="B9" s="44" t="s">
        <v>18</v>
      </c>
      <c r="C9" s="40" t="s">
        <v>28</v>
      </c>
      <c r="Y9" s="45"/>
    </row>
    <row r="10" spans="2:25" s="40" customFormat="1" ht="14.5">
      <c r="B10" s="44"/>
      <c r="C10" s="40" t="s">
        <v>19</v>
      </c>
      <c r="D10" s="48" t="s">
        <v>29</v>
      </c>
      <c r="Y10" s="45"/>
    </row>
    <row r="11" spans="2:25" s="40" customFormat="1" ht="14.5">
      <c r="B11" s="44" t="s">
        <v>20</v>
      </c>
      <c r="C11" s="40" t="s">
        <v>32</v>
      </c>
      <c r="Y11" s="45"/>
    </row>
    <row r="12" spans="2:25" s="40" customFormat="1" ht="14.5">
      <c r="B12" s="44"/>
      <c r="Y12" s="45"/>
    </row>
    <row r="13" spans="2:25" s="40" customFormat="1" thickBot="1">
      <c r="B13" s="46" t="s">
        <v>33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5"/>
    </row>
    <row r="14" spans="2:25" s="40" customFormat="1" ht="5.15" customHeight="1">
      <c r="B14" s="44"/>
      <c r="Y14" s="45"/>
    </row>
    <row r="15" spans="2:25" s="40" customFormat="1" ht="14.5">
      <c r="B15" s="44" t="s">
        <v>18</v>
      </c>
      <c r="C15" s="40" t="s">
        <v>34</v>
      </c>
      <c r="Y15" s="45"/>
    </row>
    <row r="16" spans="2:25" s="40" customFormat="1" ht="14.5">
      <c r="B16" s="44" t="s">
        <v>20</v>
      </c>
      <c r="C16" s="40" t="s">
        <v>35</v>
      </c>
      <c r="Y16" s="45"/>
    </row>
    <row r="17" spans="2:25" s="40" customFormat="1" ht="5.15" customHeight="1">
      <c r="B17" s="44"/>
      <c r="Y17" s="45"/>
    </row>
    <row r="18" spans="2:25" s="40" customFormat="1" ht="14.5">
      <c r="B18" s="49"/>
      <c r="Y18" s="45"/>
    </row>
    <row r="19" spans="2:25" s="40" customFormat="1" ht="5.15" customHeight="1" thickBot="1">
      <c r="B19" s="50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2"/>
    </row>
    <row r="20" spans="2:25" s="40" customFormat="1" ht="14.5"/>
    <row r="21" spans="2:25" s="40" customFormat="1" ht="15" customHeight="1"/>
    <row r="22" spans="2:25" s="40" customFormat="1" ht="15" customHeight="1"/>
    <row r="23" spans="2:25" s="40" customFormat="1" ht="15" customHeight="1"/>
    <row r="24" spans="2:25" s="40" customFormat="1" ht="15" customHeight="1"/>
    <row r="25" spans="2:25" s="40" customFormat="1" ht="15" customHeight="1"/>
    <row r="26" spans="2:25" s="40" customFormat="1" ht="15" customHeight="1"/>
    <row r="27" spans="2:25" s="40" customFormat="1" ht="15" customHeight="1"/>
    <row r="28" spans="2:25" s="40" customFormat="1" ht="15" customHeight="1"/>
    <row r="29" spans="2:25" s="40" customFormat="1" ht="15" customHeight="1"/>
    <row r="30" spans="2:25" s="40" customFormat="1" ht="15" customHeight="1"/>
    <row r="31" spans="2:25" s="40" customFormat="1" ht="15" customHeight="1"/>
    <row r="32" spans="2:25" s="40" customFormat="1" ht="15" customHeight="1"/>
    <row r="33" s="40" customFormat="1" ht="15" customHeight="1"/>
    <row r="34" s="40" customFormat="1" ht="15" customHeight="1"/>
    <row r="35" ht="15" customHeight="1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9C367-8717-4BDE-8371-261F34820C0B}">
  <sheetPr>
    <tabColor theme="0"/>
  </sheetPr>
  <dimension ref="A1"/>
  <sheetViews>
    <sheetView topLeftCell="XFD1048576" workbookViewId="0"/>
  </sheetViews>
  <sheetFormatPr defaultColWidth="0" defaultRowHeight="14.5" zeroHeight="1"/>
  <cols>
    <col min="1" max="1" width="0" hidden="1" customWidth="1"/>
    <col min="2" max="16384" width="9.1796875" hidden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51B96-36A7-4577-8FC2-9C925CE646CF}">
  <dimension ref="A1:N195"/>
  <sheetViews>
    <sheetView showGridLines="0" topLeftCell="A26" zoomScale="85" zoomScaleNormal="85" workbookViewId="0">
      <selection activeCell="C33" sqref="C33"/>
    </sheetView>
  </sheetViews>
  <sheetFormatPr defaultRowHeight="14.5"/>
  <cols>
    <col min="1" max="1" width="3.7265625" customWidth="1"/>
    <col min="2" max="2" width="36.90625" customWidth="1"/>
    <col min="3" max="3" width="17.26953125" bestFit="1" customWidth="1"/>
    <col min="4" max="14" width="15.7265625" customWidth="1"/>
  </cols>
  <sheetData>
    <row r="1" spans="1:5" s="53" customFormat="1" ht="26">
      <c r="A1" s="39" t="s">
        <v>22</v>
      </c>
    </row>
    <row r="2" spans="1:5" ht="5.15" customHeight="1"/>
    <row r="3" spans="1:5">
      <c r="A3" s="9" t="s">
        <v>23</v>
      </c>
    </row>
    <row r="4" spans="1:5" ht="5.15" customHeight="1"/>
    <row r="5" spans="1:5">
      <c r="C5" s="14" t="s">
        <v>41</v>
      </c>
      <c r="D5" s="14" t="s">
        <v>42</v>
      </c>
    </row>
    <row r="6" spans="1:5">
      <c r="B6" s="10" t="s">
        <v>24</v>
      </c>
      <c r="C6" s="11">
        <f>EOMONTH(C7,-12)</f>
        <v>45535</v>
      </c>
      <c r="D6" s="15">
        <f>IF($C6="","",
DATE(YEAR($C6),1,1))</f>
        <v>45292</v>
      </c>
    </row>
    <row r="7" spans="1:5">
      <c r="B7" s="10" t="s">
        <v>25</v>
      </c>
      <c r="C7" s="11">
        <v>45900</v>
      </c>
      <c r="D7" s="15">
        <f>IF($C7="","",
DATE(YEAR($C7),1,1))</f>
        <v>45658</v>
      </c>
    </row>
    <row r="9" spans="1:5" s="53" customFormat="1">
      <c r="A9" s="53" t="s">
        <v>18</v>
      </c>
      <c r="B9" s="53" t="s">
        <v>30</v>
      </c>
    </row>
    <row r="10" spans="1:5" ht="5.15" customHeight="1"/>
    <row r="11" spans="1:5">
      <c r="C11" s="15">
        <f>IF(C12="","",
_xlfn.XLOOKUP(C12,$C$6:$C$7,$D$6:$D$7))</f>
        <v>45292</v>
      </c>
      <c r="D11" s="15">
        <f>IF(D12="","",
_xlfn.XLOOKUP(D12,$C$6:$C$7,$D$6:$D$7))</f>
        <v>45658</v>
      </c>
    </row>
    <row r="12" spans="1:5">
      <c r="C12" s="15">
        <f>IF($C$6="","",$C$6)</f>
        <v>45535</v>
      </c>
      <c r="D12" s="15">
        <f>IF($C$7="","",$C$7)</f>
        <v>45900</v>
      </c>
    </row>
    <row r="13" spans="1:5">
      <c r="B13" s="12" t="s">
        <v>2</v>
      </c>
      <c r="C13" s="5" t="s">
        <v>37</v>
      </c>
      <c r="D13" s="5" t="s">
        <v>38</v>
      </c>
      <c r="E13" s="5" t="s">
        <v>40</v>
      </c>
    </row>
    <row r="14" spans="1:5">
      <c r="B14" t="str" cm="1">
        <f t="array" ref="B14:B18">_xlfn.UNIQUE(Database_Product!$C$5:$C$104)</f>
        <v>Phones</v>
      </c>
      <c r="C14" s="17">
        <f>SUMIFS(Database_Product!$F:$F,Database_Product!$C:$C,Analysis!$B14,Database_Product!$B:$B,"&gt;="&amp;Analysis!$C$11,Database_Product!$B:$B,"&lt;="&amp;Analysis!$C$12)</f>
        <v>5877065</v>
      </c>
      <c r="D14" s="17">
        <f>SUMIFS(Database_Product!$F:$F,Database_Product!$C:$C,Analysis!$B14,Database_Product!$B:$B,"&gt;="&amp;Analysis!$D$11,Database_Product!$B:$B,"&lt;="&amp;Analysis!$D$12)</f>
        <v>9891880</v>
      </c>
      <c r="E14" s="18">
        <f>D14-C14</f>
        <v>4014815</v>
      </c>
    </row>
    <row r="15" spans="1:5">
      <c r="B15" t="str">
        <v>Laptop</v>
      </c>
      <c r="C15" s="17">
        <f>SUMIFS(Database_Product!$F:$F,Database_Product!$C:$C,Analysis!$B15,Database_Product!$B:$B,"&gt;="&amp;Analysis!$C$11,Database_Product!$B:$B,"&lt;="&amp;Analysis!$C$12)</f>
        <v>11739969</v>
      </c>
      <c r="D15" s="17">
        <f>SUMIFS(Database_Product!$F:$F,Database_Product!$C:$C,Analysis!$B15,Database_Product!$B:$B,"&gt;="&amp;Analysis!$D$11,Database_Product!$B:$B,"&lt;="&amp;Analysis!$D$12)</f>
        <v>23303655</v>
      </c>
      <c r="E15" s="18">
        <f t="shared" ref="E15:E18" si="0">D15-C15</f>
        <v>11563686</v>
      </c>
    </row>
    <row r="16" spans="1:5">
      <c r="B16" t="str">
        <v>Monitors</v>
      </c>
      <c r="C16" s="17">
        <f>SUMIFS(Database_Product!$F:$F,Database_Product!$C:$C,Analysis!$B16,Database_Product!$B:$B,"&gt;="&amp;Analysis!$C$11,Database_Product!$B:$B,"&lt;="&amp;Analysis!$C$12)</f>
        <v>627871</v>
      </c>
      <c r="D16" s="17">
        <f>SUMIFS(Database_Product!$F:$F,Database_Product!$C:$C,Analysis!$B16,Database_Product!$B:$B,"&gt;="&amp;Analysis!$D$11,Database_Product!$B:$B,"&lt;="&amp;Analysis!$D$12)</f>
        <v>1435408</v>
      </c>
      <c r="E16" s="18">
        <f t="shared" si="0"/>
        <v>807537</v>
      </c>
    </row>
    <row r="17" spans="2:5">
      <c r="B17" t="str">
        <v>PC</v>
      </c>
      <c r="C17" s="17">
        <f>SUMIFS(Database_Product!$F:$F,Database_Product!$C:$C,Analysis!$B17,Database_Product!$B:$B,"&gt;="&amp;Analysis!$C$11,Database_Product!$B:$B,"&lt;="&amp;Analysis!$C$12)</f>
        <v>12113962</v>
      </c>
      <c r="D17" s="17">
        <f>SUMIFS(Database_Product!$F:$F,Database_Product!$C:$C,Analysis!$B17,Database_Product!$B:$B,"&gt;="&amp;Analysis!$D$11,Database_Product!$B:$B,"&lt;="&amp;Analysis!$D$12)</f>
        <v>14130824</v>
      </c>
      <c r="E17" s="18">
        <f t="shared" si="0"/>
        <v>2016862</v>
      </c>
    </row>
    <row r="18" spans="2:5">
      <c r="B18" t="str">
        <v>Accessories</v>
      </c>
      <c r="C18" s="17">
        <f>SUMIFS(Database_Product!$F:$F,Database_Product!$C:$C,Analysis!$B18,Database_Product!$B:$B,"&gt;="&amp;Analysis!$C$11,Database_Product!$B:$B,"&lt;="&amp;Analysis!$C$12)</f>
        <v>1222855</v>
      </c>
      <c r="D18" s="17">
        <f>SUMIFS(Database_Product!$F:$F,Database_Product!$C:$C,Analysis!$B18,Database_Product!$B:$B,"&gt;="&amp;Analysis!$D$11,Database_Product!$B:$B,"&lt;="&amp;Analysis!$D$12)</f>
        <v>1643569</v>
      </c>
      <c r="E18" s="18">
        <f t="shared" si="0"/>
        <v>420714</v>
      </c>
    </row>
    <row r="19" spans="2:5" ht="15" thickBot="1">
      <c r="B19" s="13" t="s">
        <v>39</v>
      </c>
      <c r="C19" s="19">
        <f>SUM(C14:C18)</f>
        <v>31581722</v>
      </c>
      <c r="D19" s="19">
        <f t="shared" ref="D19:E19" si="1">SUM(D14:D18)</f>
        <v>50405336</v>
      </c>
      <c r="E19" s="19">
        <f t="shared" si="1"/>
        <v>18823614</v>
      </c>
    </row>
    <row r="21" spans="2:5">
      <c r="B21" s="20" t="s">
        <v>45</v>
      </c>
      <c r="C21" s="17">
        <f>C19</f>
        <v>31581722</v>
      </c>
    </row>
    <row r="22" spans="2:5">
      <c r="B22" t="str" cm="1">
        <f t="array" ref="B22:B26">_xlfn.ANCHORARRAY(B14)</f>
        <v>Phones</v>
      </c>
      <c r="C22" s="17" cm="1">
        <f t="array" ref="C22:C26">E14:E18</f>
        <v>4014815</v>
      </c>
    </row>
    <row r="23" spans="2:5">
      <c r="B23" t="str">
        <v>Laptop</v>
      </c>
      <c r="C23">
        <v>11563686</v>
      </c>
    </row>
    <row r="24" spans="2:5">
      <c r="B24" t="str">
        <v>Monitors</v>
      </c>
      <c r="C24">
        <v>807537</v>
      </c>
    </row>
    <row r="25" spans="2:5">
      <c r="B25" t="str">
        <v>PC</v>
      </c>
      <c r="C25">
        <v>2016862</v>
      </c>
    </row>
    <row r="26" spans="2:5">
      <c r="B26" t="str">
        <v>Accessories</v>
      </c>
      <c r="C26">
        <v>420714</v>
      </c>
    </row>
    <row r="27" spans="2:5">
      <c r="B27" s="20" t="s">
        <v>46</v>
      </c>
      <c r="C27" s="17">
        <f>D19</f>
        <v>50405336</v>
      </c>
    </row>
    <row r="39" spans="1:5" s="53" customFormat="1">
      <c r="A39" s="53" t="s">
        <v>20</v>
      </c>
      <c r="B39" s="53" t="s">
        <v>31</v>
      </c>
    </row>
    <row r="40" spans="1:5" ht="5.15" customHeight="1"/>
    <row r="41" spans="1:5">
      <c r="C41" s="15">
        <f>IF(C42="","",
_xlfn.XLOOKUP(C42,$C$6:$C$7,$D$6:$D$7))</f>
        <v>45292</v>
      </c>
      <c r="D41" s="15">
        <f>IF(D42="","",
_xlfn.XLOOKUP(D42,$C$6:$C$7,$D$6:$D$7))</f>
        <v>45658</v>
      </c>
    </row>
    <row r="42" spans="1:5">
      <c r="C42" s="15">
        <f>IF($C$6="","",$C$6)</f>
        <v>45535</v>
      </c>
      <c r="D42" s="15">
        <f>IF($C$7="","",$C$7)</f>
        <v>45900</v>
      </c>
    </row>
    <row r="43" spans="1:5">
      <c r="B43" s="12" t="s">
        <v>2</v>
      </c>
      <c r="C43" s="5" t="s">
        <v>37</v>
      </c>
      <c r="D43" s="5" t="s">
        <v>38</v>
      </c>
      <c r="E43" s="5" t="s">
        <v>40</v>
      </c>
    </row>
    <row r="44" spans="1:5">
      <c r="B44" t="str" cm="1">
        <f t="array" ref="B44:B48">_xlfn.UNIQUE(Database_Product!$C$5:$C$104)</f>
        <v>Phones</v>
      </c>
      <c r="C44" s="21">
        <f>C14/AVERAGEIFS(Database_Client!$C:$C,Database_Client!$B:$B,"&gt;="&amp;Analysis!C$41,Database_Client!$B:$B,"&lt;="&amp;Analysis!C$42)</f>
        <v>4822.2071794871799</v>
      </c>
      <c r="D44" s="21">
        <f>D14/AVERAGEIFS(Database_Client!$C:$C,Database_Client!$B:$B,"&gt;="&amp;Analysis!D$41,Database_Client!$B:$B,"&lt;="&amp;Analysis!D$42)</f>
        <v>5472.307585920752</v>
      </c>
      <c r="E44" s="23">
        <f>D44-C44</f>
        <v>650.10040643357206</v>
      </c>
    </row>
    <row r="45" spans="1:5">
      <c r="B45" t="str">
        <v>Laptop</v>
      </c>
      <c r="C45" s="21">
        <f>C15/AVERAGEIFS(Database_Client!$C:$C,Database_Client!$B:$B,"&gt;="&amp;Analysis!C$41,Database_Client!$B:$B,"&lt;="&amp;Analysis!C$42)</f>
        <v>9632.7950769230774</v>
      </c>
      <c r="D45" s="21">
        <f>D15/AVERAGEIFS(Database_Client!$C:$C,Database_Client!$B:$B,"&gt;="&amp;Analysis!D$41,Database_Client!$B:$B,"&lt;="&amp;Analysis!D$42)</f>
        <v>12891.863633220386</v>
      </c>
      <c r="E45" s="23">
        <f t="shared" ref="E45:E48" si="2">D45-C45</f>
        <v>3259.0685562973085</v>
      </c>
    </row>
    <row r="46" spans="1:5">
      <c r="B46" t="str">
        <v>Monitors</v>
      </c>
      <c r="C46" s="21">
        <f>C16/AVERAGEIFS(Database_Client!$C:$C,Database_Client!$B:$B,"&gt;="&amp;Analysis!C$41,Database_Client!$B:$B,"&lt;="&amp;Analysis!C$42)</f>
        <v>515.17620512820508</v>
      </c>
      <c r="D46" s="21">
        <f>D16/AVERAGEIFS(Database_Client!$C:$C,Database_Client!$B:$B,"&gt;="&amp;Analysis!D$41,Database_Client!$B:$B,"&lt;="&amp;Analysis!D$42)</f>
        <v>794.08505635848144</v>
      </c>
      <c r="E46" s="23">
        <f t="shared" si="2"/>
        <v>278.90885123027635</v>
      </c>
    </row>
    <row r="47" spans="1:5">
      <c r="B47" t="str">
        <v>PC</v>
      </c>
      <c r="C47" s="21">
        <f>C17/AVERAGEIFS(Database_Client!$C:$C,Database_Client!$B:$B,"&gt;="&amp;Analysis!C$41,Database_Client!$B:$B,"&lt;="&amp;Analysis!C$42)</f>
        <v>9939.661128205129</v>
      </c>
      <c r="D47" s="21">
        <f>D17/AVERAGEIFS(Database_Client!$C:$C,Database_Client!$B:$B,"&gt;="&amp;Analysis!D$41,Database_Client!$B:$B,"&lt;="&amp;Analysis!D$42)</f>
        <v>7817.3426457368096</v>
      </c>
      <c r="E47" s="23">
        <f t="shared" si="2"/>
        <v>-2122.3184824683194</v>
      </c>
    </row>
    <row r="48" spans="1:5">
      <c r="B48" t="str">
        <v>Accessories</v>
      </c>
      <c r="C48" s="21">
        <f>C18/AVERAGEIFS(Database_Client!$C:$C,Database_Client!$B:$B,"&gt;="&amp;Analysis!C$41,Database_Client!$B:$B,"&lt;="&amp;Analysis!C$42)</f>
        <v>1003.3682051282051</v>
      </c>
      <c r="D48" s="21">
        <f>D18/AVERAGEIFS(Database_Client!$C:$C,Database_Client!$B:$B,"&gt;="&amp;Analysis!D$41,Database_Client!$B:$B,"&lt;="&amp;Analysis!D$42)</f>
        <v>909.24223774289464</v>
      </c>
      <c r="E48" s="23">
        <f t="shared" si="2"/>
        <v>-94.125967385310446</v>
      </c>
    </row>
    <row r="49" spans="2:5" ht="15" thickBot="1">
      <c r="B49" s="13" t="s">
        <v>39</v>
      </c>
      <c r="C49" s="22">
        <f>SUM(C44:C48)</f>
        <v>25913.207794871796</v>
      </c>
      <c r="D49" s="22">
        <f>SUM(D44:D48)</f>
        <v>27884.841158979325</v>
      </c>
      <c r="E49" s="22">
        <f>SUM(E44:E48)</f>
        <v>1971.6333641075266</v>
      </c>
    </row>
    <row r="51" spans="2:5">
      <c r="B51" s="20" t="s">
        <v>45</v>
      </c>
      <c r="C51" s="17">
        <f>C49</f>
        <v>25913.207794871796</v>
      </c>
    </row>
    <row r="52" spans="2:5">
      <c r="B52" t="str" cm="1">
        <f t="array" ref="B52:B56">_xlfn.ANCHORARRAY(B44)</f>
        <v>Phones</v>
      </c>
      <c r="C52" s="17" cm="1">
        <f t="array" ref="C52:C56">E44:E48</f>
        <v>650.10040643357206</v>
      </c>
    </row>
    <row r="53" spans="2:5">
      <c r="B53" t="str">
        <v>Laptop</v>
      </c>
      <c r="C53">
        <v>3259.0685562973085</v>
      </c>
    </row>
    <row r="54" spans="2:5">
      <c r="B54" t="str">
        <v>Monitors</v>
      </c>
      <c r="C54">
        <v>278.90885123027635</v>
      </c>
    </row>
    <row r="55" spans="2:5">
      <c r="B55" t="str">
        <v>PC</v>
      </c>
      <c r="C55">
        <v>-2122.3184824683194</v>
      </c>
    </row>
    <row r="56" spans="2:5">
      <c r="B56" t="str">
        <v>Accessories</v>
      </c>
      <c r="C56">
        <v>-94.125967385310446</v>
      </c>
    </row>
    <row r="57" spans="2:5">
      <c r="B57" s="20" t="s">
        <v>46</v>
      </c>
      <c r="C57" s="17">
        <f>D49</f>
        <v>27884.841158979325</v>
      </c>
    </row>
    <row r="69" spans="1:14" s="53" customFormat="1">
      <c r="A69" s="53" t="s">
        <v>21</v>
      </c>
      <c r="B69" s="53" t="s">
        <v>44</v>
      </c>
    </row>
    <row r="70" spans="1:14" ht="5.15" customHeight="1"/>
    <row r="71" spans="1:14">
      <c r="B71" s="12" t="s">
        <v>2</v>
      </c>
      <c r="C71" s="24">
        <f t="shared" ref="C71:L71" si="3">IF($N71="","",
EOMONTH(D71,-1))</f>
        <v>45565</v>
      </c>
      <c r="D71" s="24">
        <f t="shared" si="3"/>
        <v>45596</v>
      </c>
      <c r="E71" s="24">
        <f t="shared" si="3"/>
        <v>45626</v>
      </c>
      <c r="F71" s="24">
        <f t="shared" si="3"/>
        <v>45657</v>
      </c>
      <c r="G71" s="24">
        <f t="shared" si="3"/>
        <v>45688</v>
      </c>
      <c r="H71" s="24">
        <f t="shared" si="3"/>
        <v>45716</v>
      </c>
      <c r="I71" s="24">
        <f t="shared" si="3"/>
        <v>45747</v>
      </c>
      <c r="J71" s="24">
        <f t="shared" si="3"/>
        <v>45777</v>
      </c>
      <c r="K71" s="24">
        <f t="shared" si="3"/>
        <v>45808</v>
      </c>
      <c r="L71" s="24">
        <f t="shared" si="3"/>
        <v>45838</v>
      </c>
      <c r="M71" s="24">
        <f>IF($N71="","",
EOMONTH(N71,-1))</f>
        <v>45869</v>
      </c>
      <c r="N71" s="16">
        <f>IF($C$7="","",
$C$7)</f>
        <v>45900</v>
      </c>
    </row>
    <row r="72" spans="1:14">
      <c r="B72" t="str" cm="1">
        <f t="array" ref="B72:B76">_xlfn.UNIQUE(Database_Product!$C$5:$C$104)</f>
        <v>Phones</v>
      </c>
      <c r="C72" s="26">
        <f>SUMIFS(Database_Product!$D:$D,Database_Product!$C:$C,Analysis!$B72,Database_Product!$B:$B,Analysis!C$71) / SUMIFS(Database_Product!$D:$D,Database_Product!$B:$B,Analysis!C$71)</f>
        <v>0.21</v>
      </c>
      <c r="D72" s="26">
        <f>SUMIFS(Database_Product!$D:$D,Database_Product!$C:$C,Analysis!$B72,Database_Product!$B:$B,Analysis!D$71) / SUMIFS(Database_Product!$D:$D,Database_Product!$B:$B,Analysis!D$71)</f>
        <v>0.21005475360876058</v>
      </c>
      <c r="E72" s="26">
        <f>SUMIFS(Database_Product!$D:$D,Database_Product!$C:$C,Analysis!$B72,Database_Product!$B:$B,Analysis!E$71) / SUMIFS(Database_Product!$D:$D,Database_Product!$B:$B,Analysis!E$71)</f>
        <v>0.24994020569241809</v>
      </c>
      <c r="F72" s="26">
        <f>SUMIFS(Database_Product!$D:$D,Database_Product!$C:$C,Analysis!$B72,Database_Product!$B:$B,Analysis!F$71) / SUMIFS(Database_Product!$D:$D,Database_Product!$B:$B,Analysis!F$71)</f>
        <v>0.24994251552080937</v>
      </c>
      <c r="G72" s="26">
        <f>SUMIFS(Database_Product!$D:$D,Database_Product!$C:$C,Analysis!$B72,Database_Product!$B:$B,Analysis!G$71) / SUMIFS(Database_Product!$D:$D,Database_Product!$B:$B,Analysis!G$71)</f>
        <v>0.24001784519295116</v>
      </c>
      <c r="H72" s="26">
        <f>SUMIFS(Database_Product!$D:$D,Database_Product!$C:$C,Analysis!$B72,Database_Product!$B:$B,Analysis!H$71) / SUMIFS(Database_Product!$D:$D,Database_Product!$B:$B,Analysis!H$71)</f>
        <v>0.24994691017201104</v>
      </c>
      <c r="I72" s="26">
        <f>SUMIFS(Database_Product!$D:$D,Database_Product!$C:$C,Analysis!$B72,Database_Product!$B:$B,Analysis!I$71) / SUMIFS(Database_Product!$D:$D,Database_Product!$B:$B,Analysis!I$71)</f>
        <v>0.25989282769991756</v>
      </c>
      <c r="J72" s="26">
        <f>SUMIFS(Database_Product!$D:$D,Database_Product!$C:$C,Analysis!$B72,Database_Product!$B:$B,Analysis!J$71) / SUMIFS(Database_Product!$D:$D,Database_Product!$B:$B,Analysis!J$71)</f>
        <v>0.27</v>
      </c>
      <c r="K72" s="26">
        <f>SUMIFS(Database_Product!$D:$D,Database_Product!$C:$C,Analysis!$B72,Database_Product!$B:$B,Analysis!K$71) / SUMIFS(Database_Product!$D:$D,Database_Product!$B:$B,Analysis!K$71)</f>
        <v>0.26</v>
      </c>
      <c r="L72" s="26">
        <f>SUMIFS(Database_Product!$D:$D,Database_Product!$C:$C,Analysis!$B72,Database_Product!$B:$B,Analysis!L$71) / SUMIFS(Database_Product!$D:$D,Database_Product!$B:$B,Analysis!L$71)</f>
        <v>0.26002587322121606</v>
      </c>
      <c r="M72" s="26">
        <f>SUMIFS(Database_Product!$D:$D,Database_Product!$C:$C,Analysis!$B72,Database_Product!$B:$B,Analysis!M$71) / SUMIFS(Database_Product!$D:$D,Database_Product!$B:$B,Analysis!M$71)</f>
        <v>0.25995694294940797</v>
      </c>
      <c r="N72" s="26">
        <f>SUMIFS(Database_Product!$D:$D,Database_Product!$C:$C,Analysis!$B72,Database_Product!$B:$B,Analysis!N$71) / SUMIFS(Database_Product!$D:$D,Database_Product!$B:$B,Analysis!N$71)</f>
        <v>0.25993668659866337</v>
      </c>
    </row>
    <row r="73" spans="1:14">
      <c r="B73" t="str">
        <v>Laptop</v>
      </c>
      <c r="C73" s="26">
        <f>SUMIFS(Database_Product!$D:$D,Database_Product!$C:$C,Analysis!$B73,Database_Product!$B:$B,Analysis!C$71) / SUMIFS(Database_Product!$D:$D,Database_Product!$B:$B,Analysis!C$71)</f>
        <v>0.22</v>
      </c>
      <c r="D73" s="26">
        <f>SUMIFS(Database_Product!$D:$D,Database_Product!$C:$C,Analysis!$B73,Database_Product!$B:$B,Analysis!D$71) / SUMIFS(Database_Product!$D:$D,Database_Product!$B:$B,Analysis!D$71)</f>
        <v>0.22000995520159283</v>
      </c>
      <c r="E73" s="26">
        <f>SUMIFS(Database_Product!$D:$D,Database_Product!$C:$C,Analysis!$B73,Database_Product!$B:$B,Analysis!E$71) / SUMIFS(Database_Product!$D:$D,Database_Product!$B:$B,Analysis!E$71)</f>
        <v>0.20999760822769672</v>
      </c>
      <c r="F73" s="26">
        <f>SUMIFS(Database_Product!$D:$D,Database_Product!$C:$C,Analysis!$B73,Database_Product!$B:$B,Analysis!F$71) / SUMIFS(Database_Product!$D:$D,Database_Product!$B:$B,Analysis!F$71)</f>
        <v>0.22005058634168775</v>
      </c>
      <c r="G73" s="26">
        <f>SUMIFS(Database_Product!$D:$D,Database_Product!$C:$C,Analysis!$B73,Database_Product!$B:$B,Analysis!G$71) / SUMIFS(Database_Product!$D:$D,Database_Product!$B:$B,Analysis!G$71)</f>
        <v>0.22997992415792995</v>
      </c>
      <c r="H73" s="26">
        <f>SUMIFS(Database_Product!$D:$D,Database_Product!$C:$C,Analysis!$B73,Database_Product!$B:$B,Analysis!H$71) / SUMIFS(Database_Product!$D:$D,Database_Product!$B:$B,Analysis!H$71)</f>
        <v>0.23996602251008706</v>
      </c>
      <c r="I73" s="26">
        <f>SUMIFS(Database_Product!$D:$D,Database_Product!$C:$C,Analysis!$B73,Database_Product!$B:$B,Analysis!I$71) / SUMIFS(Database_Product!$D:$D,Database_Product!$B:$B,Analysis!I$71)</f>
        <v>0.25</v>
      </c>
      <c r="J73" s="26">
        <f>SUMIFS(Database_Product!$D:$D,Database_Product!$C:$C,Analysis!$B73,Database_Product!$B:$B,Analysis!J$71) / SUMIFS(Database_Product!$D:$D,Database_Product!$B:$B,Analysis!J$71)</f>
        <v>0.25</v>
      </c>
      <c r="K73" s="26">
        <f>SUMIFS(Database_Product!$D:$D,Database_Product!$C:$C,Analysis!$B73,Database_Product!$B:$B,Analysis!K$71) / SUMIFS(Database_Product!$D:$D,Database_Product!$B:$B,Analysis!K$71)</f>
        <v>0.26</v>
      </c>
      <c r="L73" s="26">
        <f>SUMIFS(Database_Product!$D:$D,Database_Product!$C:$C,Analysis!$B73,Database_Product!$B:$B,Analysis!L$71) / SUMIFS(Database_Product!$D:$D,Database_Product!$B:$B,Analysis!L$71)</f>
        <v>0.26002587322121606</v>
      </c>
      <c r="M73" s="26">
        <f>SUMIFS(Database_Product!$D:$D,Database_Product!$C:$C,Analysis!$B73,Database_Product!$B:$B,Analysis!M$71) / SUMIFS(Database_Product!$D:$D,Database_Product!$B:$B,Analysis!M$71)</f>
        <v>0.27000358808754932</v>
      </c>
      <c r="N73" s="26">
        <f>SUMIFS(Database_Product!$D:$D,Database_Product!$C:$C,Analysis!$B73,Database_Product!$B:$B,Analysis!N$71) / SUMIFS(Database_Product!$D:$D,Database_Product!$B:$B,Analysis!N$71)</f>
        <v>0.26996130847696098</v>
      </c>
    </row>
    <row r="74" spans="1:14">
      <c r="B74" t="str">
        <v>Monitors</v>
      </c>
      <c r="C74" s="26">
        <f>SUMIFS(Database_Product!$D:$D,Database_Product!$C:$C,Analysis!$B74,Database_Product!$B:$B,Analysis!C$71) / SUMIFS(Database_Product!$D:$D,Database_Product!$B:$B,Analysis!C$71)</f>
        <v>0.05</v>
      </c>
      <c r="D74" s="26">
        <f>SUMIFS(Database_Product!$D:$D,Database_Product!$C:$C,Analysis!$B74,Database_Product!$B:$B,Analysis!D$71) / SUMIFS(Database_Product!$D:$D,Database_Product!$B:$B,Analysis!D$71)</f>
        <v>5.0024888003982082E-2</v>
      </c>
      <c r="E74" s="26">
        <f>SUMIFS(Database_Product!$D:$D,Database_Product!$C:$C,Analysis!$B74,Database_Product!$B:$B,Analysis!E$71) / SUMIFS(Database_Product!$D:$D,Database_Product!$B:$B,Analysis!E$71)</f>
        <v>6.0033484812245873E-2</v>
      </c>
      <c r="F74" s="26">
        <f>SUMIFS(Database_Product!$D:$D,Database_Product!$C:$C,Analysis!$B74,Database_Product!$B:$B,Analysis!F$71) / SUMIFS(Database_Product!$D:$D,Database_Product!$B:$B,Analysis!F$71)</f>
        <v>6.0013796275005749E-2</v>
      </c>
      <c r="G74" s="26">
        <f>SUMIFS(Database_Product!$D:$D,Database_Product!$C:$C,Analysis!$B74,Database_Product!$B:$B,Analysis!G$71) / SUMIFS(Database_Product!$D:$D,Database_Product!$B:$B,Analysis!G$71)</f>
        <v>6.0004461298237791E-2</v>
      </c>
      <c r="H74" s="26">
        <f>SUMIFS(Database_Product!$D:$D,Database_Product!$C:$C,Analysis!$B74,Database_Product!$B:$B,Analysis!H$71) / SUMIFS(Database_Product!$D:$D,Database_Product!$B:$B,Analysis!H$71)</f>
        <v>6.009768528349968E-2</v>
      </c>
      <c r="I74" s="26">
        <f>SUMIFS(Database_Product!$D:$D,Database_Product!$C:$C,Analysis!$B74,Database_Product!$B:$B,Analysis!I$71) / SUMIFS(Database_Product!$D:$D,Database_Product!$B:$B,Analysis!I$71)</f>
        <v>5.0082440230832644E-2</v>
      </c>
      <c r="J74" s="26">
        <f>SUMIFS(Database_Product!$D:$D,Database_Product!$C:$C,Analysis!$B74,Database_Product!$B:$B,Analysis!J$71) / SUMIFS(Database_Product!$D:$D,Database_Product!$B:$B,Analysis!J$71)</f>
        <v>0.05</v>
      </c>
      <c r="K74" s="26">
        <f>SUMIFS(Database_Product!$D:$D,Database_Product!$C:$C,Analysis!$B74,Database_Product!$B:$B,Analysis!K$71) / SUMIFS(Database_Product!$D:$D,Database_Product!$B:$B,Analysis!K$71)</f>
        <v>0.06</v>
      </c>
      <c r="L74" s="26">
        <f>SUMIFS(Database_Product!$D:$D,Database_Product!$C:$C,Analysis!$B74,Database_Product!$B:$B,Analysis!L$71) / SUMIFS(Database_Product!$D:$D,Database_Product!$B:$B,Analysis!L$71)</f>
        <v>7.0042506006283492E-2</v>
      </c>
      <c r="M74" s="26">
        <f>SUMIFS(Database_Product!$D:$D,Database_Product!$C:$C,Analysis!$B74,Database_Product!$B:$B,Analysis!M$71) / SUMIFS(Database_Product!$D:$D,Database_Product!$B:$B,Analysis!M$71)</f>
        <v>6.9967707212055974E-2</v>
      </c>
      <c r="N74" s="26">
        <f>SUMIFS(Database_Product!$D:$D,Database_Product!$C:$C,Analysis!$B74,Database_Product!$B:$B,Analysis!N$71) / SUMIFS(Database_Product!$D:$D,Database_Product!$B:$B,Analysis!N$71)</f>
        <v>6.9996482588814635E-2</v>
      </c>
    </row>
    <row r="75" spans="1:14">
      <c r="B75" t="str">
        <v>PC</v>
      </c>
      <c r="C75" s="26">
        <f>SUMIFS(Database_Product!$D:$D,Database_Product!$C:$C,Analysis!$B75,Database_Product!$B:$B,Analysis!C$71) / SUMIFS(Database_Product!$D:$D,Database_Product!$B:$B,Analysis!C$71)</f>
        <v>0.14000000000000001</v>
      </c>
      <c r="D75" s="26">
        <f>SUMIFS(Database_Product!$D:$D,Database_Product!$C:$C,Analysis!$B75,Database_Product!$B:$B,Analysis!D$71) / SUMIFS(Database_Product!$D:$D,Database_Product!$B:$B,Analysis!D$71)</f>
        <v>0.15007466401194625</v>
      </c>
      <c r="E75" s="26">
        <f>SUMIFS(Database_Product!$D:$D,Database_Product!$C:$C,Analysis!$B75,Database_Product!$B:$B,Analysis!E$71) / SUMIFS(Database_Product!$D:$D,Database_Product!$B:$B,Analysis!E$71)</f>
        <v>0.13011241329825401</v>
      </c>
      <c r="F75" s="26">
        <f>SUMIFS(Database_Product!$D:$D,Database_Product!$C:$C,Analysis!$B75,Database_Product!$B:$B,Analysis!F$71) / SUMIFS(Database_Product!$D:$D,Database_Product!$B:$B,Analysis!F$71)</f>
        <v>0.1200275925500115</v>
      </c>
      <c r="G75" s="26">
        <f>SUMIFS(Database_Product!$D:$D,Database_Product!$C:$C,Analysis!$B75,Database_Product!$B:$B,Analysis!G$71) / SUMIFS(Database_Product!$D:$D,Database_Product!$B:$B,Analysis!G$71)</f>
        <v>0.12000892259647558</v>
      </c>
      <c r="H75" s="26">
        <f>SUMIFS(Database_Product!$D:$D,Database_Product!$C:$C,Analysis!$B75,Database_Product!$B:$B,Analysis!H$71) / SUMIFS(Database_Product!$D:$D,Database_Product!$B:$B,Analysis!H$71)</f>
        <v>0.11998301125504353</v>
      </c>
      <c r="I75" s="26">
        <f>SUMIFS(Database_Product!$D:$D,Database_Product!$C:$C,Analysis!$B75,Database_Product!$B:$B,Analysis!I$71) / SUMIFS(Database_Product!$D:$D,Database_Product!$B:$B,Analysis!I$71)</f>
        <v>0.11005770816158285</v>
      </c>
      <c r="J75" s="26">
        <f>SUMIFS(Database_Product!$D:$D,Database_Product!$C:$C,Analysis!$B75,Database_Product!$B:$B,Analysis!J$71) / SUMIFS(Database_Product!$D:$D,Database_Product!$B:$B,Analysis!J$71)</f>
        <v>0.11</v>
      </c>
      <c r="K75" s="26">
        <f>SUMIFS(Database_Product!$D:$D,Database_Product!$C:$C,Analysis!$B75,Database_Product!$B:$B,Analysis!K$71) / SUMIFS(Database_Product!$D:$D,Database_Product!$B:$B,Analysis!K$71)</f>
        <v>0.1</v>
      </c>
      <c r="L75" s="26">
        <f>SUMIFS(Database_Product!$D:$D,Database_Product!$C:$C,Analysis!$B75,Database_Product!$B:$B,Analysis!L$71) / SUMIFS(Database_Product!$D:$D,Database_Product!$B:$B,Analysis!L$71)</f>
        <v>9.9981519127702825E-2</v>
      </c>
      <c r="M75" s="26">
        <f>SUMIFS(Database_Product!$D:$D,Database_Product!$C:$C,Analysis!$B75,Database_Product!$B:$B,Analysis!M$71) / SUMIFS(Database_Product!$D:$D,Database_Product!$B:$B,Analysis!M$71)</f>
        <v>0.10010764262648009</v>
      </c>
      <c r="N75" s="26">
        <f>SUMIFS(Database_Product!$D:$D,Database_Product!$C:$C,Analysis!$B75,Database_Product!$B:$B,Analysis!N$71) / SUMIFS(Database_Product!$D:$D,Database_Product!$B:$B,Analysis!N$71)</f>
        <v>0.10007034822370735</v>
      </c>
    </row>
    <row r="76" spans="1:14">
      <c r="B76" t="str">
        <v>Accessories</v>
      </c>
      <c r="C76" s="26">
        <f>SUMIFS(Database_Product!$D:$D,Database_Product!$C:$C,Analysis!$B76,Database_Product!$B:$B,Analysis!C$71) / SUMIFS(Database_Product!$D:$D,Database_Product!$B:$B,Analysis!C$71)</f>
        <v>0.38</v>
      </c>
      <c r="D76" s="26">
        <f>SUMIFS(Database_Product!$D:$D,Database_Product!$C:$C,Analysis!$B76,Database_Product!$B:$B,Analysis!D$71) / SUMIFS(Database_Product!$D:$D,Database_Product!$B:$B,Analysis!D$71)</f>
        <v>0.36983573917371826</v>
      </c>
      <c r="E76" s="26">
        <f>SUMIFS(Database_Product!$D:$D,Database_Product!$C:$C,Analysis!$B76,Database_Product!$B:$B,Analysis!E$71) / SUMIFS(Database_Product!$D:$D,Database_Product!$B:$B,Analysis!E$71)</f>
        <v>0.34991628796938529</v>
      </c>
      <c r="F76" s="26">
        <f>SUMIFS(Database_Product!$D:$D,Database_Product!$C:$C,Analysis!$B76,Database_Product!$B:$B,Analysis!F$71) / SUMIFS(Database_Product!$D:$D,Database_Product!$B:$B,Analysis!F$71)</f>
        <v>0.34996550931248566</v>
      </c>
      <c r="G76" s="26">
        <f>SUMIFS(Database_Product!$D:$D,Database_Product!$C:$C,Analysis!$B76,Database_Product!$B:$B,Analysis!G$71) / SUMIFS(Database_Product!$D:$D,Database_Product!$B:$B,Analysis!G$71)</f>
        <v>0.34998884675440556</v>
      </c>
      <c r="H76" s="26">
        <f>SUMIFS(Database_Product!$D:$D,Database_Product!$C:$C,Analysis!$B76,Database_Product!$B:$B,Analysis!H$71) / SUMIFS(Database_Product!$D:$D,Database_Product!$B:$B,Analysis!H$71)</f>
        <v>0.33000637077935868</v>
      </c>
      <c r="I76" s="26">
        <f>SUMIFS(Database_Product!$D:$D,Database_Product!$C:$C,Analysis!$B76,Database_Product!$B:$B,Analysis!I$71) / SUMIFS(Database_Product!$D:$D,Database_Product!$B:$B,Analysis!I$71)</f>
        <v>0.32996702390766697</v>
      </c>
      <c r="J76" s="26">
        <f>SUMIFS(Database_Product!$D:$D,Database_Product!$C:$C,Analysis!$B76,Database_Product!$B:$B,Analysis!J$71) / SUMIFS(Database_Product!$D:$D,Database_Product!$B:$B,Analysis!J$71)</f>
        <v>0.32</v>
      </c>
      <c r="K76" s="26">
        <f>SUMIFS(Database_Product!$D:$D,Database_Product!$C:$C,Analysis!$B76,Database_Product!$B:$B,Analysis!K$71) / SUMIFS(Database_Product!$D:$D,Database_Product!$B:$B,Analysis!K$71)</f>
        <v>0.32</v>
      </c>
      <c r="L76" s="26">
        <f>SUMIFS(Database_Product!$D:$D,Database_Product!$C:$C,Analysis!$B76,Database_Product!$B:$B,Analysis!L$71) / SUMIFS(Database_Product!$D:$D,Database_Product!$B:$B,Analysis!L$71)</f>
        <v>0.30992422842358158</v>
      </c>
      <c r="M76" s="26">
        <f>SUMIFS(Database_Product!$D:$D,Database_Product!$C:$C,Analysis!$B76,Database_Product!$B:$B,Analysis!M$71) / SUMIFS(Database_Product!$D:$D,Database_Product!$B:$B,Analysis!M$71)</f>
        <v>0.29996411912450666</v>
      </c>
      <c r="N76" s="26">
        <f>SUMIFS(Database_Product!$D:$D,Database_Product!$C:$C,Analysis!$B76,Database_Product!$B:$B,Analysis!N$71) / SUMIFS(Database_Product!$D:$D,Database_Product!$B:$B,Analysis!N$71)</f>
        <v>0.30003517411185365</v>
      </c>
    </row>
    <row r="77" spans="1:14" ht="5.15" customHeight="1"/>
    <row r="78" spans="1:14">
      <c r="B78" t="s">
        <v>43</v>
      </c>
      <c r="C78" s="21">
        <f>SUMIFS(Database_Product!$F:$F,Database_Product!$B:$B,Analysis!C$71) / _xlfn.XLOOKUP(Analysis!C$71,Database_Client!$B:$B,Database_Client!$C:$C)</f>
        <v>3408.7505360972123</v>
      </c>
      <c r="D78" s="21">
        <f>SUMIFS(Database_Product!$F:$F,Database_Product!$B:$B,Analysis!D$71) / _xlfn.XLOOKUP(Analysis!D$71,Database_Client!$B:$B,Database_Client!$C:$C)</f>
        <v>3490.2591065292095</v>
      </c>
      <c r="E78" s="21">
        <f>SUMIFS(Database_Product!$F:$F,Database_Product!$B:$B,Analysis!E$71) / _xlfn.XLOOKUP(Analysis!E$71,Database_Client!$B:$B,Database_Client!$C:$C)</f>
        <v>3498.4425363276091</v>
      </c>
      <c r="F78" s="21">
        <f>SUMIFS(Database_Product!$F:$F,Database_Product!$B:$B,Analysis!F$71) / _xlfn.XLOOKUP(Analysis!F$71,Database_Client!$B:$B,Database_Client!$C:$C)</f>
        <v>3523.0538461538463</v>
      </c>
      <c r="G78" s="21">
        <f>SUMIFS(Database_Product!$F:$F,Database_Product!$B:$B,Analysis!G$71) / _xlfn.XLOOKUP(Analysis!G$71,Database_Client!$B:$B,Database_Client!$C:$C)</f>
        <v>3260.7782663316584</v>
      </c>
      <c r="H78" s="21">
        <f>SUMIFS(Database_Product!$F:$F,Database_Product!$B:$B,Analysis!H$71) / _xlfn.XLOOKUP(Analysis!H$71,Database_Client!$B:$B,Database_Client!$C:$C)</f>
        <v>3619.6141304347825</v>
      </c>
      <c r="I78" s="21">
        <f>SUMIFS(Database_Product!$F:$F,Database_Product!$B:$B,Analysis!I$71) / _xlfn.XLOOKUP(Analysis!I$71,Database_Client!$B:$B,Database_Client!$C:$C)</f>
        <v>3380.9651770168311</v>
      </c>
      <c r="J78" s="21">
        <f>SUMIFS(Database_Product!$F:$F,Database_Product!$B:$B,Analysis!J$71) / _xlfn.XLOOKUP(Analysis!J$71,Database_Client!$B:$B,Database_Client!$C:$C)</f>
        <v>3588.6786120591582</v>
      </c>
      <c r="K78" s="21">
        <f>SUMIFS(Database_Product!$F:$F,Database_Product!$B:$B,Analysis!K$71) / _xlfn.XLOOKUP(Analysis!K$71,Database_Client!$B:$B,Database_Client!$C:$C)</f>
        <v>3252.8064516129034</v>
      </c>
      <c r="L78" s="21">
        <f>SUMIFS(Database_Product!$F:$F,Database_Product!$B:$B,Analysis!L$71) / _xlfn.XLOOKUP(Analysis!L$71,Database_Client!$B:$B,Database_Client!$C:$C)</f>
        <v>3499.497635312664</v>
      </c>
      <c r="M78" s="21">
        <f>SUMIFS(Database_Product!$F:$F,Database_Product!$B:$B,Analysis!M$71) / _xlfn.XLOOKUP(Analysis!M$71,Database_Client!$B:$B,Database_Client!$C:$C)</f>
        <v>3746.399494949495</v>
      </c>
      <c r="N78" s="21">
        <f>SUMIFS(Database_Product!$F:$F,Database_Product!$B:$B,Analysis!N$71) / _xlfn.XLOOKUP(Analysis!N$71,Database_Client!$B:$B,Database_Client!$C:$C)</f>
        <v>3494.5534653465347</v>
      </c>
    </row>
    <row r="112" spans="1:2" s="53" customFormat="1">
      <c r="A112" s="53" t="s">
        <v>47</v>
      </c>
      <c r="B112" s="53" t="s">
        <v>56</v>
      </c>
    </row>
    <row r="113" spans="2:12" ht="8.5" customHeight="1"/>
    <row r="114" spans="2:12">
      <c r="B114" s="32" t="s">
        <v>55</v>
      </c>
      <c r="K114" s="27"/>
      <c r="L114" s="27"/>
    </row>
    <row r="115" spans="2:12">
      <c r="B115" s="20" t="s">
        <v>2</v>
      </c>
      <c r="C115" s="28">
        <v>45322</v>
      </c>
      <c r="D115" s="28">
        <f t="shared" ref="D115:J115" si="4">EOMONTH(C115,1)</f>
        <v>45351</v>
      </c>
      <c r="E115" s="28">
        <f t="shared" si="4"/>
        <v>45382</v>
      </c>
      <c r="F115" s="28">
        <f t="shared" si="4"/>
        <v>45412</v>
      </c>
      <c r="G115" s="28">
        <f t="shared" si="4"/>
        <v>45443</v>
      </c>
      <c r="H115" s="28">
        <f t="shared" si="4"/>
        <v>45473</v>
      </c>
      <c r="I115" s="28">
        <f t="shared" si="4"/>
        <v>45504</v>
      </c>
      <c r="J115" s="28">
        <f t="shared" si="4"/>
        <v>45535</v>
      </c>
      <c r="K115" s="35" t="s">
        <v>50</v>
      </c>
    </row>
    <row r="116" spans="2:12">
      <c r="B116" t="str" cm="1">
        <f t="array" ref="B116:B120">_xlfn.UNIQUE(Database_Product!$C$5:$C$104)</f>
        <v>Phones</v>
      </c>
      <c r="C116" s="29">
        <f>SUMIFS(Database_Product!$F:$F,Database_Product!$C:$C,Analysis!$B116,Database_Product!$B:$B,Analysis!C$115)</f>
        <v>654424</v>
      </c>
      <c r="D116" s="29">
        <f>SUMIFS(Database_Product!$F:$F,Database_Product!$C:$C,Analysis!$B116,Database_Product!$B:$B,Analysis!D$115)</f>
        <v>723240</v>
      </c>
      <c r="E116" s="29">
        <f>SUMIFS(Database_Product!$F:$F,Database_Product!$C:$C,Analysis!$B116,Database_Product!$B:$B,Analysis!E$115)</f>
        <v>713440</v>
      </c>
      <c r="F116" s="29">
        <f>SUMIFS(Database_Product!$F:$F,Database_Product!$C:$C,Analysis!$B116,Database_Product!$B:$B,Analysis!F$115)</f>
        <v>696460</v>
      </c>
      <c r="G116" s="29">
        <f>SUMIFS(Database_Product!$F:$F,Database_Product!$C:$C,Analysis!$B116,Database_Product!$B:$B,Analysis!G$115)</f>
        <v>758351</v>
      </c>
      <c r="H116" s="29">
        <f>SUMIFS(Database_Product!$F:$F,Database_Product!$C:$C,Analysis!$B116,Database_Product!$B:$B,Analysis!H$115)</f>
        <v>741510</v>
      </c>
      <c r="I116" s="29">
        <f>SUMIFS(Database_Product!$F:$F,Database_Product!$C:$C,Analysis!$B116,Database_Product!$B:$B,Analysis!I$115)</f>
        <v>770640</v>
      </c>
      <c r="J116" s="29">
        <f>SUMIFS(Database_Product!$F:$F,Database_Product!$C:$C,Analysis!$B116,Database_Product!$B:$B,Analysis!J$115)</f>
        <v>819000</v>
      </c>
      <c r="K116" s="29">
        <f>SUM(C116:J116)</f>
        <v>5877065</v>
      </c>
      <c r="L116" s="25"/>
    </row>
    <row r="117" spans="2:12">
      <c r="B117" t="str">
        <v>Laptop</v>
      </c>
      <c r="C117" s="29">
        <f>SUMIFS(Database_Product!$F:$F,Database_Product!$C:$C,Analysis!$B117,Database_Product!$B:$B,Analysis!C$115)</f>
        <v>1090647</v>
      </c>
      <c r="D117" s="29">
        <f>SUMIFS(Database_Product!$F:$F,Database_Product!$C:$C,Analysis!$B117,Database_Product!$B:$B,Analysis!D$115)</f>
        <v>1161300</v>
      </c>
      <c r="E117" s="29">
        <f>SUMIFS(Database_Product!$F:$F,Database_Product!$C:$C,Analysis!$B117,Database_Product!$B:$B,Analysis!E$115)</f>
        <v>1476657</v>
      </c>
      <c r="F117" s="29">
        <f>SUMIFS(Database_Product!$F:$F,Database_Product!$C:$C,Analysis!$B117,Database_Product!$B:$B,Analysis!F$115)</f>
        <v>1282160</v>
      </c>
      <c r="G117" s="29">
        <f>SUMIFS(Database_Product!$F:$F,Database_Product!$C:$C,Analysis!$B117,Database_Product!$B:$B,Analysis!G$115)</f>
        <v>1391910</v>
      </c>
      <c r="H117" s="29">
        <f>SUMIFS(Database_Product!$F:$F,Database_Product!$C:$C,Analysis!$B117,Database_Product!$B:$B,Analysis!H$115)</f>
        <v>1691200</v>
      </c>
      <c r="I117" s="29">
        <f>SUMIFS(Database_Product!$F:$F,Database_Product!$C:$C,Analysis!$B117,Database_Product!$B:$B,Analysis!I$115)</f>
        <v>1783845</v>
      </c>
      <c r="J117" s="29">
        <f>SUMIFS(Database_Product!$F:$F,Database_Product!$C:$C,Analysis!$B117,Database_Product!$B:$B,Analysis!J$115)</f>
        <v>1862250</v>
      </c>
      <c r="K117" s="29">
        <f t="shared" ref="K117:K120" si="5">SUM(C117:J117)</f>
        <v>11739969</v>
      </c>
      <c r="L117" s="25"/>
    </row>
    <row r="118" spans="2:12">
      <c r="B118" t="str">
        <v>Monitors</v>
      </c>
      <c r="C118" s="29">
        <f>SUMIFS(Database_Product!$F:$F,Database_Product!$C:$C,Analysis!$B118,Database_Product!$B:$B,Analysis!C$115)</f>
        <v>48600</v>
      </c>
      <c r="D118" s="29">
        <f>SUMIFS(Database_Product!$F:$F,Database_Product!$C:$C,Analysis!$B118,Database_Product!$B:$B,Analysis!D$115)</f>
        <v>55056</v>
      </c>
      <c r="E118" s="29">
        <f>SUMIFS(Database_Product!$F:$F,Database_Product!$C:$C,Analysis!$B118,Database_Product!$B:$B,Analysis!E$115)</f>
        <v>57665</v>
      </c>
      <c r="F118" s="29">
        <f>SUMIFS(Database_Product!$F:$F,Database_Product!$C:$C,Analysis!$B118,Database_Product!$B:$B,Analysis!F$115)</f>
        <v>66679</v>
      </c>
      <c r="G118" s="29">
        <f>SUMIFS(Database_Product!$F:$F,Database_Product!$C:$C,Analysis!$B118,Database_Product!$B:$B,Analysis!G$115)</f>
        <v>87720</v>
      </c>
      <c r="H118" s="29">
        <f>SUMIFS(Database_Product!$F:$F,Database_Product!$C:$C,Analysis!$B118,Database_Product!$B:$B,Analysis!H$115)</f>
        <v>97580</v>
      </c>
      <c r="I118" s="29">
        <f>SUMIFS(Database_Product!$F:$F,Database_Product!$C:$C,Analysis!$B118,Database_Product!$B:$B,Analysis!I$115)</f>
        <v>94815</v>
      </c>
      <c r="J118" s="29">
        <f>SUMIFS(Database_Product!$F:$F,Database_Product!$C:$C,Analysis!$B118,Database_Product!$B:$B,Analysis!J$115)</f>
        <v>119756</v>
      </c>
      <c r="K118" s="29">
        <f t="shared" si="5"/>
        <v>627871</v>
      </c>
      <c r="L118" s="25"/>
    </row>
    <row r="119" spans="2:12">
      <c r="B119" t="str">
        <v>PC</v>
      </c>
      <c r="C119" s="29">
        <f>SUMIFS(Database_Product!$F:$F,Database_Product!$C:$C,Analysis!$B119,Database_Product!$B:$B,Analysis!C$115)</f>
        <v>1412992</v>
      </c>
      <c r="D119" s="29">
        <f>SUMIFS(Database_Product!$F:$F,Database_Product!$C:$C,Analysis!$B119,Database_Product!$B:$B,Analysis!D$115)</f>
        <v>1438781</v>
      </c>
      <c r="E119" s="29">
        <f>SUMIFS(Database_Product!$F:$F,Database_Product!$C:$C,Analysis!$B119,Database_Product!$B:$B,Analysis!E$115)</f>
        <v>1457775</v>
      </c>
      <c r="F119" s="29">
        <f>SUMIFS(Database_Product!$F:$F,Database_Product!$C:$C,Analysis!$B119,Database_Product!$B:$B,Analysis!F$115)</f>
        <v>1489494</v>
      </c>
      <c r="G119" s="29">
        <f>SUMIFS(Database_Product!$F:$F,Database_Product!$C:$C,Analysis!$B119,Database_Product!$B:$B,Analysis!G$115)</f>
        <v>1571752</v>
      </c>
      <c r="H119" s="29">
        <f>SUMIFS(Database_Product!$F:$F,Database_Product!$C:$C,Analysis!$B119,Database_Product!$B:$B,Analysis!H$115)</f>
        <v>1643460</v>
      </c>
      <c r="I119" s="29">
        <f>SUMIFS(Database_Product!$F:$F,Database_Product!$C:$C,Analysis!$B119,Database_Product!$B:$B,Analysis!I$115)</f>
        <v>1612772</v>
      </c>
      <c r="J119" s="29">
        <f>SUMIFS(Database_Product!$F:$F,Database_Product!$C:$C,Analysis!$B119,Database_Product!$B:$B,Analysis!J$115)</f>
        <v>1486936</v>
      </c>
      <c r="K119" s="29">
        <f t="shared" si="5"/>
        <v>12113962</v>
      </c>
      <c r="L119" s="25"/>
    </row>
    <row r="120" spans="2:12">
      <c r="B120" t="str">
        <v>Accessories</v>
      </c>
      <c r="C120" s="29">
        <f>SUMIFS(Database_Product!$F:$F,Database_Product!$C:$C,Analysis!$B120,Database_Product!$B:$B,Analysis!C$115)</f>
        <v>144353</v>
      </c>
      <c r="D120" s="29">
        <f>SUMIFS(Database_Product!$F:$F,Database_Product!$C:$C,Analysis!$B120,Database_Product!$B:$B,Analysis!D$115)</f>
        <v>127816</v>
      </c>
      <c r="E120" s="29">
        <f>SUMIFS(Database_Product!$F:$F,Database_Product!$C:$C,Analysis!$B120,Database_Product!$B:$B,Analysis!E$115)</f>
        <v>134090</v>
      </c>
      <c r="F120" s="29">
        <f>SUMIFS(Database_Product!$F:$F,Database_Product!$C:$C,Analysis!$B120,Database_Product!$B:$B,Analysis!F$115)</f>
        <v>192992</v>
      </c>
      <c r="G120" s="29">
        <f>SUMIFS(Database_Product!$F:$F,Database_Product!$C:$C,Analysis!$B120,Database_Product!$B:$B,Analysis!G$115)</f>
        <v>167034</v>
      </c>
      <c r="H120" s="29">
        <f>SUMIFS(Database_Product!$F:$F,Database_Product!$C:$C,Analysis!$B120,Database_Product!$B:$B,Analysis!H$115)</f>
        <v>146895</v>
      </c>
      <c r="I120" s="29">
        <f>SUMIFS(Database_Product!$F:$F,Database_Product!$C:$C,Analysis!$B120,Database_Product!$B:$B,Analysis!I$115)</f>
        <v>154350</v>
      </c>
      <c r="J120" s="29">
        <f>SUMIFS(Database_Product!$F:$F,Database_Product!$C:$C,Analysis!$B120,Database_Product!$B:$B,Analysis!J$115)</f>
        <v>155325</v>
      </c>
      <c r="K120" s="29">
        <f t="shared" si="5"/>
        <v>1222855</v>
      </c>
      <c r="L120" s="25"/>
    </row>
    <row r="121" spans="2:12">
      <c r="B121" s="34" t="s">
        <v>39</v>
      </c>
      <c r="C121" s="34">
        <f>SUM(C116:C120)</f>
        <v>3351016</v>
      </c>
      <c r="D121" s="34">
        <f t="shared" ref="D121" si="6">SUM(D116:D120)</f>
        <v>3506193</v>
      </c>
      <c r="E121" s="34">
        <f t="shared" ref="E121" si="7">SUM(E116:E120)</f>
        <v>3839627</v>
      </c>
      <c r="F121" s="34">
        <f t="shared" ref="F121" si="8">SUM(F116:F120)</f>
        <v>3727785</v>
      </c>
      <c r="G121" s="34">
        <f t="shared" ref="G121" si="9">SUM(G116:G120)</f>
        <v>3976767</v>
      </c>
      <c r="H121" s="34">
        <f t="shared" ref="H121" si="10">SUM(H116:H120)</f>
        <v>4320645</v>
      </c>
      <c r="I121" s="34">
        <f t="shared" ref="I121" si="11">SUM(I116:I120)</f>
        <v>4416422</v>
      </c>
      <c r="J121" s="34">
        <f t="shared" ref="J121" si="12">SUM(J116:J120)</f>
        <v>4443267</v>
      </c>
      <c r="K121" s="34">
        <f>SUM(K116:K120)</f>
        <v>31581722</v>
      </c>
      <c r="L121" s="25"/>
    </row>
    <row r="122" spans="2:12" ht="16" customHeight="1"/>
    <row r="123" spans="2:12">
      <c r="B123" s="32" t="s">
        <v>53</v>
      </c>
      <c r="C123" s="27">
        <v>45322</v>
      </c>
      <c r="D123" s="27">
        <f>EOMONTH(C123,1)</f>
        <v>45351</v>
      </c>
      <c r="E123" s="27">
        <f t="shared" ref="E123:J123" si="13">EOMONTH(D123,1)</f>
        <v>45382</v>
      </c>
      <c r="F123" s="27">
        <f t="shared" si="13"/>
        <v>45412</v>
      </c>
      <c r="G123" s="27">
        <f t="shared" si="13"/>
        <v>45443</v>
      </c>
      <c r="H123" s="27">
        <f t="shared" si="13"/>
        <v>45473</v>
      </c>
      <c r="I123" s="27">
        <f t="shared" si="13"/>
        <v>45504</v>
      </c>
      <c r="J123" s="27">
        <f t="shared" si="13"/>
        <v>45535</v>
      </c>
      <c r="K123" s="27"/>
      <c r="L123" s="27"/>
    </row>
    <row r="124" spans="2:12">
      <c r="B124" s="20" t="s">
        <v>2</v>
      </c>
      <c r="C124" s="28">
        <f>EOMONTH(C123,12)</f>
        <v>45688</v>
      </c>
      <c r="D124" s="28">
        <f>EOMONTH(C124,1)</f>
        <v>45716</v>
      </c>
      <c r="E124" s="28">
        <f t="shared" ref="E124:J124" si="14">EOMONTH(D124,1)</f>
        <v>45747</v>
      </c>
      <c r="F124" s="28">
        <f t="shared" si="14"/>
        <v>45777</v>
      </c>
      <c r="G124" s="28">
        <f t="shared" si="14"/>
        <v>45808</v>
      </c>
      <c r="H124" s="28">
        <f t="shared" si="14"/>
        <v>45838</v>
      </c>
      <c r="I124" s="28">
        <f t="shared" si="14"/>
        <v>45869</v>
      </c>
      <c r="J124" s="28">
        <f t="shared" si="14"/>
        <v>45900</v>
      </c>
      <c r="K124" s="35" t="s">
        <v>50</v>
      </c>
    </row>
    <row r="125" spans="2:12">
      <c r="B125" t="str" cm="1">
        <f t="array" ref="B125:B129">_xlfn.UNIQUE(Database_Product!$C$5:$C$104)</f>
        <v>Phones</v>
      </c>
      <c r="C125" s="29">
        <f>SUMIFS(Database_Product!$F:$F,Database_Product!$C:$C,Analysis!$B125,Database_Product!$B:$B,Analysis!C$124)-
SUMIFS(Database_Product!$F:$F,Database_Product!$C:$C,Analysis!$B125,Database_Product!$B:$B,Analysis!C$123)</f>
        <v>407588</v>
      </c>
      <c r="D125" s="29">
        <f>SUMIFS(Database_Product!$F:$F,Database_Product!$C:$C,Analysis!$B125,Database_Product!$B:$B,Analysis!D$124)-
SUMIFS(Database_Product!$F:$F,Database_Product!$C:$C,Analysis!$B125,Database_Product!$B:$B,Analysis!D$123)</f>
        <v>339591</v>
      </c>
      <c r="E125" s="29">
        <f>SUMIFS(Database_Product!$F:$F,Database_Product!$C:$C,Analysis!$B125,Database_Product!$B:$B,Analysis!E$124)-
SUMIFS(Database_Product!$F:$F,Database_Product!$C:$C,Analysis!$B125,Database_Product!$B:$B,Analysis!E$123)</f>
        <v>444158</v>
      </c>
      <c r="F125" s="29">
        <f>SUMIFS(Database_Product!$F:$F,Database_Product!$C:$C,Analysis!$B125,Database_Product!$B:$B,Analysis!F$124)-
SUMIFS(Database_Product!$F:$F,Database_Product!$C:$C,Analysis!$B125,Database_Product!$B:$B,Analysis!F$123)</f>
        <v>548483</v>
      </c>
      <c r="G125" s="29">
        <f>SUMIFS(Database_Product!$F:$F,Database_Product!$C:$C,Analysis!$B125,Database_Product!$B:$B,Analysis!G$124)-
SUMIFS(Database_Product!$F:$F,Database_Product!$C:$C,Analysis!$B125,Database_Product!$B:$B,Analysis!G$123)</f>
        <v>477546</v>
      </c>
      <c r="H125" s="29">
        <f>SUMIFS(Database_Product!$F:$F,Database_Product!$C:$C,Analysis!$B125,Database_Product!$B:$B,Analysis!H$124)-
SUMIFS(Database_Product!$F:$F,Database_Product!$C:$C,Analysis!$B125,Database_Product!$B:$B,Analysis!H$123)</f>
        <v>592326</v>
      </c>
      <c r="I125" s="29">
        <f>SUMIFS(Database_Product!$F:$F,Database_Product!$C:$C,Analysis!$B125,Database_Product!$B:$B,Analysis!I$124)-
SUMIFS(Database_Product!$F:$F,Database_Product!$C:$C,Analysis!$B125,Database_Product!$B:$B,Analysis!I$123)</f>
        <v>639237</v>
      </c>
      <c r="J125" s="29">
        <f>SUMIFS(Database_Product!$F:$F,Database_Product!$C:$C,Analysis!$B125,Database_Product!$B:$B,Analysis!J$124)-
SUMIFS(Database_Product!$F:$F,Database_Product!$C:$C,Analysis!$B125,Database_Product!$B:$B,Analysis!J$123)</f>
        <v>565886</v>
      </c>
      <c r="K125" s="29">
        <f>SUM(C125:J125)</f>
        <v>4014815</v>
      </c>
      <c r="L125" s="25"/>
    </row>
    <row r="126" spans="2:12">
      <c r="B126" t="str">
        <v>Laptop</v>
      </c>
      <c r="C126" s="29">
        <f>SUMIFS(Database_Product!$F:$F,Database_Product!$C:$C,Analysis!$B126,Database_Product!$B:$B,Analysis!C$124)-
SUMIFS(Database_Product!$F:$F,Database_Product!$C:$C,Analysis!$B126,Database_Product!$B:$B,Analysis!C$123)</f>
        <v>1005376</v>
      </c>
      <c r="D126" s="29">
        <f>SUMIFS(Database_Product!$F:$F,Database_Product!$C:$C,Analysis!$B126,Database_Product!$B:$B,Analysis!D$124)-
SUMIFS(Database_Product!$F:$F,Database_Product!$C:$C,Analysis!$B126,Database_Product!$B:$B,Analysis!D$123)</f>
        <v>1516800</v>
      </c>
      <c r="E126" s="29">
        <f>SUMIFS(Database_Product!$F:$F,Database_Product!$C:$C,Analysis!$B126,Database_Product!$B:$B,Analysis!E$124)-
SUMIFS(Database_Product!$F:$F,Database_Product!$C:$C,Analysis!$B126,Database_Product!$B:$B,Analysis!E$123)</f>
        <v>1156766</v>
      </c>
      <c r="F126" s="29">
        <f>SUMIFS(Database_Product!$F:$F,Database_Product!$C:$C,Analysis!$B126,Database_Product!$B:$B,Analysis!F$124)-
SUMIFS(Database_Product!$F:$F,Database_Product!$C:$C,Analysis!$B126,Database_Product!$B:$B,Analysis!F$123)</f>
        <v>1665190</v>
      </c>
      <c r="G126" s="29">
        <f>SUMIFS(Database_Product!$F:$F,Database_Product!$C:$C,Analysis!$B126,Database_Product!$B:$B,Analysis!G$124)-
SUMIFS(Database_Product!$F:$F,Database_Product!$C:$C,Analysis!$B126,Database_Product!$B:$B,Analysis!G$123)</f>
        <v>1377142</v>
      </c>
      <c r="H126" s="29">
        <f>SUMIFS(Database_Product!$F:$F,Database_Product!$C:$C,Analysis!$B126,Database_Product!$B:$B,Analysis!H$124)-
SUMIFS(Database_Product!$F:$F,Database_Product!$C:$C,Analysis!$B126,Database_Product!$B:$B,Analysis!H$123)</f>
        <v>1384502</v>
      </c>
      <c r="I126" s="29">
        <f>SUMIFS(Database_Product!$F:$F,Database_Product!$C:$C,Analysis!$B126,Database_Product!$B:$B,Analysis!I$124)-
SUMIFS(Database_Product!$F:$F,Database_Product!$C:$C,Analysis!$B126,Database_Product!$B:$B,Analysis!I$123)</f>
        <v>1834175</v>
      </c>
      <c r="J126" s="29">
        <f>SUMIFS(Database_Product!$F:$F,Database_Product!$C:$C,Analysis!$B126,Database_Product!$B:$B,Analysis!J$124)-
SUMIFS(Database_Product!$F:$F,Database_Product!$C:$C,Analysis!$B126,Database_Product!$B:$B,Analysis!J$123)</f>
        <v>1623735</v>
      </c>
      <c r="K126" s="29">
        <f t="shared" ref="K126:K129" si="15">SUM(C126:J126)</f>
        <v>11563686</v>
      </c>
      <c r="L126" s="25"/>
    </row>
    <row r="127" spans="2:12">
      <c r="B127" t="str">
        <v>Monitors</v>
      </c>
      <c r="C127" s="29">
        <f>SUMIFS(Database_Product!$F:$F,Database_Product!$C:$C,Analysis!$B127,Database_Product!$B:$B,Analysis!C$124)-
SUMIFS(Database_Product!$F:$F,Database_Product!$C:$C,Analysis!$B127,Database_Product!$B:$B,Analysis!C$123)</f>
        <v>86707</v>
      </c>
      <c r="D127" s="29">
        <f>SUMIFS(Database_Product!$F:$F,Database_Product!$C:$C,Analysis!$B127,Database_Product!$B:$B,Analysis!D$124)-
SUMIFS(Database_Product!$F:$F,Database_Product!$C:$C,Analysis!$B127,Database_Product!$B:$B,Analysis!D$123)</f>
        <v>128611</v>
      </c>
      <c r="E127" s="29">
        <f>SUMIFS(Database_Product!$F:$F,Database_Product!$C:$C,Analysis!$B127,Database_Product!$B:$B,Analysis!E$124)-
SUMIFS(Database_Product!$F:$F,Database_Product!$C:$C,Analysis!$B127,Database_Product!$B:$B,Analysis!E$123)</f>
        <v>72583</v>
      </c>
      <c r="F127" s="29">
        <f>SUMIFS(Database_Product!$F:$F,Database_Product!$C:$C,Analysis!$B127,Database_Product!$B:$B,Analysis!F$124)-
SUMIFS(Database_Product!$F:$F,Database_Product!$C:$C,Analysis!$B127,Database_Product!$B:$B,Analysis!F$123)</f>
        <v>101636</v>
      </c>
      <c r="G127" s="29">
        <f>SUMIFS(Database_Product!$F:$F,Database_Product!$C:$C,Analysis!$B127,Database_Product!$B:$B,Analysis!G$124)-
SUMIFS(Database_Product!$F:$F,Database_Product!$C:$C,Analysis!$B127,Database_Product!$B:$B,Analysis!G$123)</f>
        <v>67398</v>
      </c>
      <c r="H127" s="29">
        <f>SUMIFS(Database_Product!$F:$F,Database_Product!$C:$C,Analysis!$B127,Database_Product!$B:$B,Analysis!H$124)-
SUMIFS(Database_Product!$F:$F,Database_Product!$C:$C,Analysis!$B127,Database_Product!$B:$B,Analysis!H$123)</f>
        <v>103669</v>
      </c>
      <c r="I127" s="29">
        <f>SUMIFS(Database_Product!$F:$F,Database_Product!$C:$C,Analysis!$B127,Database_Product!$B:$B,Analysis!I$124)-
SUMIFS(Database_Product!$F:$F,Database_Product!$C:$C,Analysis!$B127,Database_Product!$B:$B,Analysis!I$123)</f>
        <v>146595</v>
      </c>
      <c r="J127" s="29">
        <f>SUMIFS(Database_Product!$F:$F,Database_Product!$C:$C,Analysis!$B127,Database_Product!$B:$B,Analysis!J$124)-
SUMIFS(Database_Product!$F:$F,Database_Product!$C:$C,Analysis!$B127,Database_Product!$B:$B,Analysis!J$123)</f>
        <v>100338</v>
      </c>
      <c r="K127" s="29">
        <f t="shared" si="15"/>
        <v>807537</v>
      </c>
      <c r="L127" s="25"/>
    </row>
    <row r="128" spans="2:12">
      <c r="B128" t="str">
        <v>PC</v>
      </c>
      <c r="C128" s="29">
        <f>SUMIFS(Database_Product!$F:$F,Database_Product!$C:$C,Analysis!$B128,Database_Product!$B:$B,Analysis!C$124)-
SUMIFS(Database_Product!$F:$F,Database_Product!$C:$C,Analysis!$B128,Database_Product!$B:$B,Analysis!C$123)</f>
        <v>269872</v>
      </c>
      <c r="D128" s="29">
        <f>SUMIFS(Database_Product!$F:$F,Database_Product!$C:$C,Analysis!$B128,Database_Product!$B:$B,Analysis!D$124)-
SUMIFS(Database_Product!$F:$F,Database_Product!$C:$C,Analysis!$B128,Database_Product!$B:$B,Analysis!D$123)</f>
        <v>448884</v>
      </c>
      <c r="E128" s="29">
        <f>SUMIFS(Database_Product!$F:$F,Database_Product!$C:$C,Analysis!$B128,Database_Product!$B:$B,Analysis!E$124)-
SUMIFS(Database_Product!$F:$F,Database_Product!$C:$C,Analysis!$B128,Database_Product!$B:$B,Analysis!E$123)</f>
        <v>270249</v>
      </c>
      <c r="F128" s="29">
        <f>SUMIFS(Database_Product!$F:$F,Database_Product!$C:$C,Analysis!$B128,Database_Product!$B:$B,Analysis!F$124)-
SUMIFS(Database_Product!$F:$F,Database_Product!$C:$C,Analysis!$B128,Database_Product!$B:$B,Analysis!F$123)</f>
        <v>262795</v>
      </c>
      <c r="G128" s="29">
        <f>SUMIFS(Database_Product!$F:$F,Database_Product!$C:$C,Analysis!$B128,Database_Product!$B:$B,Analysis!G$124)-
SUMIFS(Database_Product!$F:$F,Database_Product!$C:$C,Analysis!$B128,Database_Product!$B:$B,Analysis!G$123)</f>
        <v>-8212</v>
      </c>
      <c r="H128" s="29">
        <f>SUMIFS(Database_Product!$F:$F,Database_Product!$C:$C,Analysis!$B128,Database_Product!$B:$B,Analysis!H$124)-
SUMIFS(Database_Product!$F:$F,Database_Product!$C:$C,Analysis!$B128,Database_Product!$B:$B,Analysis!H$123)</f>
        <v>237597</v>
      </c>
      <c r="I128" s="29">
        <f>SUMIFS(Database_Product!$F:$F,Database_Product!$C:$C,Analysis!$B128,Database_Product!$B:$B,Analysis!I$124)-
SUMIFS(Database_Product!$F:$F,Database_Product!$C:$C,Analysis!$B128,Database_Product!$B:$B,Analysis!I$123)</f>
        <v>290008</v>
      </c>
      <c r="J128" s="29">
        <f>SUMIFS(Database_Product!$F:$F,Database_Product!$C:$C,Analysis!$B128,Database_Product!$B:$B,Analysis!J$124)-
SUMIFS(Database_Product!$F:$F,Database_Product!$C:$C,Analysis!$B128,Database_Product!$B:$B,Analysis!J$123)</f>
        <v>245669</v>
      </c>
      <c r="K128" s="29">
        <f t="shared" si="15"/>
        <v>2016862</v>
      </c>
      <c r="L128" s="25"/>
    </row>
    <row r="129" spans="2:12">
      <c r="B129" t="str">
        <v>Accessories</v>
      </c>
      <c r="C129" s="29">
        <f>SUMIFS(Database_Product!$F:$F,Database_Product!$C:$C,Analysis!$B129,Database_Product!$B:$B,Analysis!C$124)-
SUMIFS(Database_Product!$F:$F,Database_Product!$C:$C,Analysis!$B129,Database_Product!$B:$B,Analysis!C$123)</f>
        <v>70600</v>
      </c>
      <c r="D129" s="29">
        <f>SUMIFS(Database_Product!$F:$F,Database_Product!$C:$C,Analysis!$B129,Database_Product!$B:$B,Analysis!D$124)-
SUMIFS(Database_Product!$F:$F,Database_Product!$C:$C,Analysis!$B129,Database_Product!$B:$B,Analysis!D$123)</f>
        <v>54002</v>
      </c>
      <c r="E129" s="29">
        <f>SUMIFS(Database_Product!$F:$F,Database_Product!$C:$C,Analysis!$B129,Database_Product!$B:$B,Analysis!E$124)-
SUMIFS(Database_Product!$F:$F,Database_Product!$C:$C,Analysis!$B129,Database_Product!$B:$B,Analysis!E$123)</f>
        <v>42020</v>
      </c>
      <c r="F129" s="29">
        <f>SUMIFS(Database_Product!$F:$F,Database_Product!$C:$C,Analysis!$B129,Database_Product!$B:$B,Analysis!F$124)-
SUMIFS(Database_Product!$F:$F,Database_Product!$C:$C,Analysis!$B129,Database_Product!$B:$B,Analysis!F$123)</f>
        <v>3008</v>
      </c>
      <c r="G129" s="29">
        <f>SUMIFS(Database_Product!$F:$F,Database_Product!$C:$C,Analysis!$B129,Database_Product!$B:$B,Analysis!G$124)-
SUMIFS(Database_Product!$F:$F,Database_Product!$C:$C,Analysis!$B129,Database_Product!$B:$B,Analysis!G$123)</f>
        <v>58742</v>
      </c>
      <c r="H129" s="29">
        <f>SUMIFS(Database_Product!$F:$F,Database_Product!$C:$C,Analysis!$B129,Database_Product!$B:$B,Analysis!H$124)-
SUMIFS(Database_Product!$F:$F,Database_Product!$C:$C,Analysis!$B129,Database_Product!$B:$B,Analysis!H$123)</f>
        <v>20805</v>
      </c>
      <c r="I129" s="29">
        <f>SUMIFS(Database_Product!$F:$F,Database_Product!$C:$C,Analysis!$B129,Database_Product!$B:$B,Analysis!I$124)-
SUMIFS(Database_Product!$F:$F,Database_Product!$C:$C,Analysis!$B129,Database_Product!$B:$B,Analysis!I$123)</f>
        <v>91434</v>
      </c>
      <c r="J129" s="29">
        <f>SUMIFS(Database_Product!$F:$F,Database_Product!$C:$C,Analysis!$B129,Database_Product!$B:$B,Analysis!J$124)-
SUMIFS(Database_Product!$F:$F,Database_Product!$C:$C,Analysis!$B129,Database_Product!$B:$B,Analysis!J$123)</f>
        <v>80103</v>
      </c>
      <c r="K129" s="29">
        <f t="shared" si="15"/>
        <v>420714</v>
      </c>
      <c r="L129" s="25"/>
    </row>
    <row r="130" spans="2:12">
      <c r="B130" s="34" t="s">
        <v>39</v>
      </c>
      <c r="C130" s="34">
        <f>SUM(C125:C129)</f>
        <v>1840143</v>
      </c>
      <c r="D130" s="34">
        <f t="shared" ref="D130:J130" si="16">SUM(D125:D129)</f>
        <v>2487888</v>
      </c>
      <c r="E130" s="34">
        <f t="shared" si="16"/>
        <v>1985776</v>
      </c>
      <c r="F130" s="34">
        <f t="shared" si="16"/>
        <v>2581112</v>
      </c>
      <c r="G130" s="34">
        <f t="shared" si="16"/>
        <v>1972616</v>
      </c>
      <c r="H130" s="34">
        <f t="shared" si="16"/>
        <v>2338899</v>
      </c>
      <c r="I130" s="34">
        <f t="shared" si="16"/>
        <v>3001449</v>
      </c>
      <c r="J130" s="34">
        <f t="shared" si="16"/>
        <v>2615731</v>
      </c>
      <c r="K130" s="34">
        <f>SUM(K125:K129)</f>
        <v>18823614</v>
      </c>
      <c r="L130" s="25"/>
    </row>
    <row r="132" spans="2:12">
      <c r="B132" s="31" t="s">
        <v>48</v>
      </c>
    </row>
    <row r="133" spans="2:12">
      <c r="B133" s="30" t="s">
        <v>49</v>
      </c>
      <c r="C133" s="27">
        <v>45322</v>
      </c>
      <c r="D133" s="27">
        <f>EOMONTH(C133,1)</f>
        <v>45351</v>
      </c>
      <c r="E133" s="27">
        <f t="shared" ref="E133:J133" si="17">EOMONTH(D133,1)</f>
        <v>45382</v>
      </c>
      <c r="F133" s="27">
        <f t="shared" si="17"/>
        <v>45412</v>
      </c>
      <c r="G133" s="27">
        <f t="shared" si="17"/>
        <v>45443</v>
      </c>
      <c r="H133" s="27">
        <f t="shared" si="17"/>
        <v>45473</v>
      </c>
      <c r="I133" s="27">
        <f t="shared" si="17"/>
        <v>45504</v>
      </c>
      <c r="J133" s="27">
        <f t="shared" si="17"/>
        <v>45535</v>
      </c>
    </row>
    <row r="134" spans="2:12">
      <c r="B134" s="20" t="s">
        <v>2</v>
      </c>
      <c r="C134" s="28">
        <f>EOMONTH(C133,12)</f>
        <v>45688</v>
      </c>
      <c r="D134" s="28">
        <f>EOMONTH(C134,1)</f>
        <v>45716</v>
      </c>
      <c r="E134" s="28">
        <f t="shared" ref="E134:J134" si="18">EOMONTH(D134,1)</f>
        <v>45747</v>
      </c>
      <c r="F134" s="28">
        <f t="shared" si="18"/>
        <v>45777</v>
      </c>
      <c r="G134" s="28">
        <f t="shared" si="18"/>
        <v>45808</v>
      </c>
      <c r="H134" s="28">
        <f t="shared" si="18"/>
        <v>45838</v>
      </c>
      <c r="I134" s="28">
        <f t="shared" si="18"/>
        <v>45869</v>
      </c>
      <c r="J134" s="28">
        <f t="shared" si="18"/>
        <v>45900</v>
      </c>
      <c r="K134" s="35" t="s">
        <v>50</v>
      </c>
    </row>
    <row r="135" spans="2:12">
      <c r="B135" t="str" cm="1">
        <f t="array" ref="B135:B139">_xlfn.UNIQUE(Database_Product!$C$5:$C$104)</f>
        <v>Phones</v>
      </c>
      <c r="C135" s="29">
        <f>(SUMIFS(Database_Product!$E:$E,Database_Product!$C:$C,Analysis!$B135,Database_Product!$B:$B,Analysis!C$134)-
SUMIFS(Database_Product!$E:$E,Database_Product!$C:$C,Analysis!$B135,Database_Product!$B:$B,Analysis!C$133))*
SUMIFS(Database_Product!$D:$D,Database_Product!$C:$C,Analysis!$B135,Database_Product!$B:$B,Analysis!C$134)</f>
        <v>78548</v>
      </c>
      <c r="D135" s="29">
        <f>(SUMIFS(Database_Product!$E:$E,Database_Product!$C:$C,Analysis!$B135,Database_Product!$B:$B,Analysis!D$134)-
SUMIFS(Database_Product!$E:$E,Database_Product!$C:$C,Analysis!$B135,Database_Product!$B:$B,Analysis!D$133))*
SUMIFS(Database_Product!$D:$D,Database_Product!$C:$C,Analysis!$B135,Database_Product!$B:$B,Analysis!D$134)</f>
        <v>-90629</v>
      </c>
      <c r="E135" s="29">
        <f>(SUMIFS(Database_Product!$E:$E,Database_Product!$C:$C,Analysis!$B135,Database_Product!$B:$B,Analysis!E$134)-
SUMIFS(Database_Product!$E:$E,Database_Product!$C:$C,Analysis!$B135,Database_Product!$B:$B,Analysis!E$133))*
SUMIFS(Database_Product!$D:$D,Database_Product!$C:$C,Analysis!$B135,Database_Product!$B:$B,Analysis!E$134)</f>
        <v>-78182</v>
      </c>
      <c r="F135" s="29">
        <f>(SUMIFS(Database_Product!$E:$E,Database_Product!$C:$C,Analysis!$B135,Database_Product!$B:$B,Analysis!F$134)-
SUMIFS(Database_Product!$E:$E,Database_Product!$C:$C,Analysis!$B135,Database_Product!$B:$B,Analysis!F$133))*
SUMIFS(Database_Product!$D:$D,Database_Product!$C:$C,Analysis!$B135,Database_Product!$B:$B,Analysis!F$134)</f>
        <v>-38367</v>
      </c>
      <c r="G135" s="29">
        <f>(SUMIFS(Database_Product!$E:$E,Database_Product!$C:$C,Analysis!$B135,Database_Product!$B:$B,Analysis!G$134)-
SUMIFS(Database_Product!$E:$E,Database_Product!$C:$C,Analysis!$B135,Database_Product!$B:$B,Analysis!G$133))*
SUMIFS(Database_Product!$D:$D,Database_Product!$C:$C,Analysis!$B135,Database_Product!$B:$B,Analysis!G$134)</f>
        <v>-64272</v>
      </c>
      <c r="H135" s="29">
        <f>(SUMIFS(Database_Product!$E:$E,Database_Product!$C:$C,Analysis!$B135,Database_Product!$B:$B,Analysis!H$134)-
SUMIFS(Database_Product!$E:$E,Database_Product!$C:$C,Analysis!$B135,Database_Product!$B:$B,Analysis!H$133))*
SUMIFS(Database_Product!$D:$D,Database_Product!$C:$C,Analysis!$B135,Database_Product!$B:$B,Analysis!H$134)</f>
        <v>-21105</v>
      </c>
      <c r="I135" s="29">
        <f>(SUMIFS(Database_Product!$E:$E,Database_Product!$C:$C,Analysis!$B135,Database_Product!$B:$B,Analysis!I$134)-
SUMIFS(Database_Product!$E:$E,Database_Product!$C:$C,Analysis!$B135,Database_Product!$B:$B,Analysis!I$133))*
SUMIFS(Database_Product!$D:$D,Database_Product!$C:$C,Analysis!$B135,Database_Product!$B:$B,Analysis!I$134)</f>
        <v>88389</v>
      </c>
      <c r="J135" s="29">
        <f>(SUMIFS(Database_Product!$E:$E,Database_Product!$C:$C,Analysis!$B135,Database_Product!$B:$B,Analysis!J$134)-
SUMIFS(Database_Product!$E:$E,Database_Product!$C:$C,Analysis!$B135,Database_Product!$B:$B,Analysis!J$133))*
SUMIFS(Database_Product!$D:$D,Database_Product!$C:$C,Analysis!$B135,Database_Product!$B:$B,Analysis!J$134)</f>
        <v>39906</v>
      </c>
      <c r="K135" s="29">
        <f>SUM(C135:J135)</f>
        <v>-85712</v>
      </c>
      <c r="L135" s="29"/>
    </row>
    <row r="136" spans="2:12">
      <c r="B136" t="str">
        <v>Laptop</v>
      </c>
      <c r="C136" s="29">
        <f>(SUMIFS(Database_Product!$E:$E,Database_Product!$C:$C,Analysis!$B136,Database_Product!$B:$B,Analysis!C$134)-
SUMIFS(Database_Product!$E:$E,Database_Product!$C:$C,Analysis!$B136,Database_Product!$B:$B,Analysis!C$133))*
SUMIFS(Database_Product!$D:$D,Database_Product!$C:$C,Analysis!$B136,Database_Product!$B:$B,Analysis!C$134)</f>
        <v>2062</v>
      </c>
      <c r="D136" s="29">
        <f>(SUMIFS(Database_Product!$E:$E,Database_Product!$C:$C,Analysis!$B136,Database_Product!$B:$B,Analysis!D$134)-
SUMIFS(Database_Product!$E:$E,Database_Product!$C:$C,Analysis!$B136,Database_Product!$B:$B,Analysis!D$133))*
SUMIFS(Database_Product!$D:$D,Database_Product!$C:$C,Analysis!$B136,Database_Product!$B:$B,Analysis!D$134)</f>
        <v>305100</v>
      </c>
      <c r="E136" s="29">
        <f>(SUMIFS(Database_Product!$E:$E,Database_Product!$C:$C,Analysis!$B136,Database_Product!$B:$B,Analysis!E$134)-
SUMIFS(Database_Product!$E:$E,Database_Product!$C:$C,Analysis!$B136,Database_Product!$B:$B,Analysis!E$133))*
SUMIFS(Database_Product!$D:$D,Database_Product!$C:$C,Analysis!$B136,Database_Product!$B:$B,Analysis!E$134)</f>
        <v>-346918</v>
      </c>
      <c r="F136" s="29">
        <f>(SUMIFS(Database_Product!$E:$E,Database_Product!$C:$C,Analysis!$B136,Database_Product!$B:$B,Analysis!F$134)-
SUMIFS(Database_Product!$E:$E,Database_Product!$C:$C,Analysis!$B136,Database_Product!$B:$B,Analysis!F$133))*
SUMIFS(Database_Product!$D:$D,Database_Product!$C:$C,Analysis!$B136,Database_Product!$B:$B,Analysis!F$134)</f>
        <v>414050</v>
      </c>
      <c r="G136" s="29">
        <f>(SUMIFS(Database_Product!$E:$E,Database_Product!$C:$C,Analysis!$B136,Database_Product!$B:$B,Analysis!G$134)-
SUMIFS(Database_Product!$E:$E,Database_Product!$C:$C,Analysis!$B136,Database_Product!$B:$B,Analysis!G$133))*
SUMIFS(Database_Product!$D:$D,Database_Product!$C:$C,Analysis!$B136,Database_Product!$B:$B,Analysis!G$134)</f>
        <v>-120510</v>
      </c>
      <c r="H136" s="29">
        <f>(SUMIFS(Database_Product!$E:$E,Database_Product!$C:$C,Analysis!$B136,Database_Product!$B:$B,Analysis!H$134)-
SUMIFS(Database_Product!$E:$E,Database_Product!$C:$C,Analysis!$B136,Database_Product!$B:$B,Analysis!H$133))*
SUMIFS(Database_Product!$D:$D,Database_Product!$C:$C,Analysis!$B136,Database_Product!$B:$B,Analysis!H$134)</f>
        <v>-323610</v>
      </c>
      <c r="I136" s="29">
        <f>(SUMIFS(Database_Product!$E:$E,Database_Product!$C:$C,Analysis!$B136,Database_Product!$B:$B,Analysis!I$134)-
SUMIFS(Database_Product!$E:$E,Database_Product!$C:$C,Analysis!$B136,Database_Product!$B:$B,Analysis!I$133))*
SUMIFS(Database_Product!$D:$D,Database_Product!$C:$C,Analysis!$B136,Database_Product!$B:$B,Analysis!I$134)</f>
        <v>-34615</v>
      </c>
      <c r="J136" s="29">
        <f>(SUMIFS(Database_Product!$E:$E,Database_Product!$C:$C,Analysis!$B136,Database_Product!$B:$B,Analysis!J$134)-
SUMIFS(Database_Product!$E:$E,Database_Product!$C:$C,Analysis!$B136,Database_Product!$B:$B,Analysis!J$133))*
SUMIFS(Database_Product!$D:$D,Database_Product!$C:$C,Analysis!$B136,Database_Product!$B:$B,Analysis!J$134)</f>
        <v>-325420</v>
      </c>
      <c r="K136" s="29">
        <f>SUM(C136:J136)</f>
        <v>-429861</v>
      </c>
    </row>
    <row r="137" spans="2:12">
      <c r="B137" t="str">
        <v>Monitors</v>
      </c>
      <c r="C137" s="29">
        <f>(SUMIFS(Database_Product!$E:$E,Database_Product!$C:$C,Analysis!$B137,Database_Product!$B:$B,Analysis!C$134)-
SUMIFS(Database_Product!$E:$E,Database_Product!$C:$C,Analysis!$B137,Database_Product!$B:$B,Analysis!C$133))*
SUMIFS(Database_Product!$D:$D,Database_Product!$C:$C,Analysis!$B137,Database_Product!$B:$B,Analysis!C$134)</f>
        <v>-9953</v>
      </c>
      <c r="D137" s="29">
        <f>(SUMIFS(Database_Product!$E:$E,Database_Product!$C:$C,Analysis!$B137,Database_Product!$B:$B,Analysis!D$134)-
SUMIFS(Database_Product!$E:$E,Database_Product!$C:$C,Analysis!$B137,Database_Product!$B:$B,Analysis!D$133))*
SUMIFS(Database_Product!$D:$D,Database_Product!$C:$C,Analysis!$B137,Database_Product!$B:$B,Analysis!D$134)</f>
        <v>16131</v>
      </c>
      <c r="E137" s="29">
        <f>(SUMIFS(Database_Product!$E:$E,Database_Product!$C:$C,Analysis!$B137,Database_Product!$B:$B,Analysis!E$134)-
SUMIFS(Database_Product!$E:$E,Database_Product!$C:$C,Analysis!$B137,Database_Product!$B:$B,Analysis!E$133))*
SUMIFS(Database_Product!$D:$D,Database_Product!$C:$C,Analysis!$B137,Database_Product!$B:$B,Analysis!E$134)</f>
        <v>-17253</v>
      </c>
      <c r="F137" s="29">
        <f>(SUMIFS(Database_Product!$E:$E,Database_Product!$C:$C,Analysis!$B137,Database_Product!$B:$B,Analysis!F$134)-
SUMIFS(Database_Product!$E:$E,Database_Product!$C:$C,Analysis!$B137,Database_Product!$B:$B,Analysis!F$133))*
SUMIFS(Database_Product!$D:$D,Database_Product!$C:$C,Analysis!$B137,Database_Product!$B:$B,Analysis!F$134)</f>
        <v>43610</v>
      </c>
      <c r="G137" s="29">
        <f>(SUMIFS(Database_Product!$E:$E,Database_Product!$C:$C,Analysis!$B137,Database_Product!$B:$B,Analysis!G$134)-
SUMIFS(Database_Product!$E:$E,Database_Product!$C:$C,Analysis!$B137,Database_Product!$B:$B,Analysis!G$133))*
SUMIFS(Database_Product!$D:$D,Database_Product!$C:$C,Analysis!$B137,Database_Product!$B:$B,Analysis!G$134)</f>
        <v>-44187</v>
      </c>
      <c r="H137" s="29">
        <f>(SUMIFS(Database_Product!$E:$E,Database_Product!$C:$C,Analysis!$B137,Database_Product!$B:$B,Analysis!H$134)-
SUMIFS(Database_Product!$E:$E,Database_Product!$C:$C,Analysis!$B137,Database_Product!$B:$B,Analysis!H$133))*
SUMIFS(Database_Product!$D:$D,Database_Product!$C:$C,Analysis!$B137,Database_Product!$B:$B,Analysis!H$134)</f>
        <v>-62914</v>
      </c>
      <c r="I137" s="29">
        <f>(SUMIFS(Database_Product!$E:$E,Database_Product!$C:$C,Analysis!$B137,Database_Product!$B:$B,Analysis!I$134)-
SUMIFS(Database_Product!$E:$E,Database_Product!$C:$C,Analysis!$B137,Database_Product!$B:$B,Analysis!I$133))*
SUMIFS(Database_Product!$D:$D,Database_Product!$C:$C,Analysis!$B137,Database_Product!$B:$B,Analysis!I$134)</f>
        <v>-10140</v>
      </c>
      <c r="J137" s="29">
        <f>(SUMIFS(Database_Product!$E:$E,Database_Product!$C:$C,Analysis!$B137,Database_Product!$B:$B,Analysis!J$134)-
SUMIFS(Database_Product!$E:$E,Database_Product!$C:$C,Analysis!$B137,Database_Product!$B:$B,Analysis!J$133))*
SUMIFS(Database_Product!$D:$D,Database_Product!$C:$C,Analysis!$B137,Database_Product!$B:$B,Analysis!J$134)</f>
        <v>-33432</v>
      </c>
      <c r="K137" s="29">
        <f>SUM(C137:J137)</f>
        <v>-118138</v>
      </c>
    </row>
    <row r="138" spans="2:12">
      <c r="B138" t="str">
        <v>PC</v>
      </c>
      <c r="C138" s="29">
        <f>(SUMIFS(Database_Product!$E:$E,Database_Product!$C:$C,Analysis!$B138,Database_Product!$B:$B,Analysis!C$134)-
SUMIFS(Database_Product!$E:$E,Database_Product!$C:$C,Analysis!$B138,Database_Product!$B:$B,Analysis!C$133))*
SUMIFS(Database_Product!$D:$D,Database_Product!$C:$C,Analysis!$B138,Database_Product!$B:$B,Analysis!C$134)</f>
        <v>-13988</v>
      </c>
      <c r="D138" s="29">
        <f>(SUMIFS(Database_Product!$E:$E,Database_Product!$C:$C,Analysis!$B138,Database_Product!$B:$B,Analysis!D$134)-
SUMIFS(Database_Product!$E:$E,Database_Product!$C:$C,Analysis!$B138,Database_Product!$B:$B,Analysis!D$133))*
SUMIFS(Database_Product!$D:$D,Database_Product!$C:$C,Analysis!$B138,Database_Product!$B:$B,Analysis!D$134)</f>
        <v>124300</v>
      </c>
      <c r="E138" s="29">
        <f>(SUMIFS(Database_Product!$E:$E,Database_Product!$C:$C,Analysis!$B138,Database_Product!$B:$B,Analysis!E$134)-
SUMIFS(Database_Product!$E:$E,Database_Product!$C:$C,Analysis!$B138,Database_Product!$B:$B,Analysis!E$133))*
SUMIFS(Database_Product!$D:$D,Database_Product!$C:$C,Analysis!$B138,Database_Product!$B:$B,Analysis!E$134)</f>
        <v>89178</v>
      </c>
      <c r="F138" s="29">
        <f>(SUMIFS(Database_Product!$E:$E,Database_Product!$C:$C,Analysis!$B138,Database_Product!$B:$B,Analysis!F$134)-
SUMIFS(Database_Product!$E:$E,Database_Product!$C:$C,Analysis!$B138,Database_Product!$B:$B,Analysis!F$133))*
SUMIFS(Database_Product!$D:$D,Database_Product!$C:$C,Analysis!$B138,Database_Product!$B:$B,Analysis!F$134)</f>
        <v>110495</v>
      </c>
      <c r="G138" s="29">
        <f>(SUMIFS(Database_Product!$E:$E,Database_Product!$C:$C,Analysis!$B138,Database_Product!$B:$B,Analysis!G$134)-
SUMIFS(Database_Product!$E:$E,Database_Product!$C:$C,Analysis!$B138,Database_Product!$B:$B,Analysis!G$133))*
SUMIFS(Database_Product!$D:$D,Database_Product!$C:$C,Analysis!$B138,Database_Product!$B:$B,Analysis!G$134)</f>
        <v>-136990</v>
      </c>
      <c r="H138" s="29">
        <f>(SUMIFS(Database_Product!$E:$E,Database_Product!$C:$C,Analysis!$B138,Database_Product!$B:$B,Analysis!H$134)-
SUMIFS(Database_Product!$E:$E,Database_Product!$C:$C,Analysis!$B138,Database_Product!$B:$B,Analysis!H$133))*
SUMIFS(Database_Product!$D:$D,Database_Product!$C:$C,Analysis!$B138,Database_Product!$B:$B,Analysis!H$134)</f>
        <v>66543</v>
      </c>
      <c r="I138" s="29">
        <f>(SUMIFS(Database_Product!$E:$E,Database_Product!$C:$C,Analysis!$B138,Database_Product!$B:$B,Analysis!I$134)-
SUMIFS(Database_Product!$E:$E,Database_Product!$C:$C,Analysis!$B138,Database_Product!$B:$B,Analysis!I$133))*
SUMIFS(Database_Product!$D:$D,Database_Product!$C:$C,Analysis!$B138,Database_Product!$B:$B,Analysis!I$134)</f>
        <v>20088</v>
      </c>
      <c r="J138" s="29">
        <f>(SUMIFS(Database_Product!$E:$E,Database_Product!$C:$C,Analysis!$B138,Database_Product!$B:$B,Analysis!J$134)-
SUMIFS(Database_Product!$E:$E,Database_Product!$C:$C,Analysis!$B138,Database_Product!$B:$B,Analysis!J$133))*
SUMIFS(Database_Product!$D:$D,Database_Product!$C:$C,Analysis!$B138,Database_Product!$B:$B,Analysis!J$134)</f>
        <v>-1138</v>
      </c>
      <c r="K138" s="29">
        <f>SUM(C138:J138)</f>
        <v>258488</v>
      </c>
    </row>
    <row r="139" spans="2:12">
      <c r="B139" t="str">
        <v>Accessories</v>
      </c>
      <c r="C139" s="29">
        <f>(SUMIFS(Database_Product!$E:$E,Database_Product!$C:$C,Analysis!$B139,Database_Product!$B:$B,Analysis!C$134)-
SUMIFS(Database_Product!$E:$E,Database_Product!$C:$C,Analysis!$B139,Database_Product!$B:$B,Analysis!C$133))*
SUMIFS(Database_Product!$D:$D,Database_Product!$C:$C,Analysis!$B139,Database_Product!$B:$B,Analysis!C$134)</f>
        <v>25104</v>
      </c>
      <c r="D139" s="29">
        <f>(SUMIFS(Database_Product!$E:$E,Database_Product!$C:$C,Analysis!$B139,Database_Product!$B:$B,Analysis!D$134)-
SUMIFS(Database_Product!$E:$E,Database_Product!$C:$C,Analysis!$B139,Database_Product!$B:$B,Analysis!D$133))*
SUMIFS(Database_Product!$D:$D,Database_Product!$C:$C,Analysis!$B139,Database_Product!$B:$B,Analysis!D$134)</f>
        <v>20202</v>
      </c>
      <c r="E139" s="29">
        <f>(SUMIFS(Database_Product!$E:$E,Database_Product!$C:$C,Analysis!$B139,Database_Product!$B:$B,Analysis!E$134)-
SUMIFS(Database_Product!$E:$E,Database_Product!$C:$C,Analysis!$B139,Database_Product!$B:$B,Analysis!E$133))*
SUMIFS(Database_Product!$D:$D,Database_Product!$C:$C,Analysis!$B139,Database_Product!$B:$B,Analysis!E$134)</f>
        <v>6404</v>
      </c>
      <c r="F139" s="29">
        <f>(SUMIFS(Database_Product!$E:$E,Database_Product!$C:$C,Analysis!$B139,Database_Product!$B:$B,Analysis!F$134)-
SUMIFS(Database_Product!$E:$E,Database_Product!$C:$C,Analysis!$B139,Database_Product!$B:$B,Analysis!F$133))*
SUMIFS(Database_Product!$D:$D,Database_Product!$C:$C,Analysis!$B139,Database_Product!$B:$B,Analysis!F$134)</f>
        <v>-36064</v>
      </c>
      <c r="G139" s="29">
        <f>(SUMIFS(Database_Product!$E:$E,Database_Product!$C:$C,Analysis!$B139,Database_Product!$B:$B,Analysis!G$134)-
SUMIFS(Database_Product!$E:$E,Database_Product!$C:$C,Analysis!$B139,Database_Product!$B:$B,Analysis!G$133))*
SUMIFS(Database_Product!$D:$D,Database_Product!$C:$C,Analysis!$B139,Database_Product!$B:$B,Analysis!G$134)</f>
        <v>23072</v>
      </c>
      <c r="H139" s="29">
        <f>(SUMIFS(Database_Product!$E:$E,Database_Product!$C:$C,Analysis!$B139,Database_Product!$B:$B,Analysis!H$134)-
SUMIFS(Database_Product!$E:$E,Database_Product!$C:$C,Analysis!$B139,Database_Product!$B:$B,Analysis!H$133))*
SUMIFS(Database_Product!$D:$D,Database_Product!$C:$C,Analysis!$B139,Database_Product!$B:$B,Analysis!H$134)</f>
        <v>-8385</v>
      </c>
      <c r="I139" s="29">
        <f>(SUMIFS(Database_Product!$E:$E,Database_Product!$C:$C,Analysis!$B139,Database_Product!$B:$B,Analysis!I$134)-
SUMIFS(Database_Product!$E:$E,Database_Product!$C:$C,Analysis!$B139,Database_Product!$B:$B,Analysis!I$133))*
SUMIFS(Database_Product!$D:$D,Database_Product!$C:$C,Analysis!$B139,Database_Product!$B:$B,Analysis!I$134)</f>
        <v>70224</v>
      </c>
      <c r="J139" s="29">
        <f>(SUMIFS(Database_Product!$E:$E,Database_Product!$C:$C,Analysis!$B139,Database_Product!$B:$B,Analysis!J$134)-
SUMIFS(Database_Product!$E:$E,Database_Product!$C:$C,Analysis!$B139,Database_Product!$B:$B,Analysis!J$133))*
SUMIFS(Database_Product!$D:$D,Database_Product!$C:$C,Analysis!$B139,Database_Product!$B:$B,Analysis!J$134)</f>
        <v>49474</v>
      </c>
      <c r="K139" s="29">
        <f>SUM(C139:J139)</f>
        <v>150031</v>
      </c>
    </row>
    <row r="140" spans="2:12">
      <c r="B140" s="33" t="s">
        <v>39</v>
      </c>
      <c r="C140" s="34">
        <f>SUM(C135:C139)</f>
        <v>81773</v>
      </c>
      <c r="D140" s="34">
        <f t="shared" ref="D140:K140" si="19">SUM(D135:D139)</f>
        <v>375104</v>
      </c>
      <c r="E140" s="34">
        <f t="shared" si="19"/>
        <v>-346771</v>
      </c>
      <c r="F140" s="34">
        <f t="shared" si="19"/>
        <v>493724</v>
      </c>
      <c r="G140" s="34">
        <f t="shared" si="19"/>
        <v>-342887</v>
      </c>
      <c r="H140" s="34">
        <f t="shared" si="19"/>
        <v>-349471</v>
      </c>
      <c r="I140" s="34">
        <f t="shared" si="19"/>
        <v>133946</v>
      </c>
      <c r="J140" s="34">
        <f t="shared" si="19"/>
        <v>-270610</v>
      </c>
      <c r="K140" s="34">
        <f t="shared" si="19"/>
        <v>-225192</v>
      </c>
    </row>
    <row r="142" spans="2:12">
      <c r="B142" s="31" t="s">
        <v>51</v>
      </c>
    </row>
    <row r="143" spans="2:12">
      <c r="B143" s="30" t="s">
        <v>52</v>
      </c>
      <c r="C143" s="27">
        <v>45322</v>
      </c>
      <c r="D143" s="27">
        <f>EOMONTH(C143,1)</f>
        <v>45351</v>
      </c>
      <c r="E143" s="27">
        <f t="shared" ref="E143:E144" si="20">EOMONTH(D143,1)</f>
        <v>45382</v>
      </c>
      <c r="F143" s="27">
        <f t="shared" ref="F143:F144" si="21">EOMONTH(E143,1)</f>
        <v>45412</v>
      </c>
      <c r="G143" s="27">
        <f t="shared" ref="G143:G144" si="22">EOMONTH(F143,1)</f>
        <v>45443</v>
      </c>
      <c r="H143" s="27">
        <f t="shared" ref="H143:H144" si="23">EOMONTH(G143,1)</f>
        <v>45473</v>
      </c>
      <c r="I143" s="27">
        <f t="shared" ref="I143:I144" si="24">EOMONTH(H143,1)</f>
        <v>45504</v>
      </c>
      <c r="J143" s="27">
        <f t="shared" ref="J143:J144" si="25">EOMONTH(I143,1)</f>
        <v>45535</v>
      </c>
    </row>
    <row r="144" spans="2:12">
      <c r="B144" s="20" t="s">
        <v>2</v>
      </c>
      <c r="C144" s="28">
        <f>EOMONTH(C143,12)</f>
        <v>45688</v>
      </c>
      <c r="D144" s="28">
        <f>EOMONTH(C144,1)</f>
        <v>45716</v>
      </c>
      <c r="E144" s="28">
        <f t="shared" si="20"/>
        <v>45747</v>
      </c>
      <c r="F144" s="28">
        <f t="shared" si="21"/>
        <v>45777</v>
      </c>
      <c r="G144" s="28">
        <f t="shared" si="22"/>
        <v>45808</v>
      </c>
      <c r="H144" s="28">
        <f t="shared" si="23"/>
        <v>45838</v>
      </c>
      <c r="I144" s="28">
        <f t="shared" si="24"/>
        <v>45869</v>
      </c>
      <c r="J144" s="28">
        <f t="shared" si="25"/>
        <v>45900</v>
      </c>
      <c r="K144" s="35" t="s">
        <v>50</v>
      </c>
    </row>
    <row r="145" spans="2:11">
      <c r="B145" t="str" cm="1">
        <f t="array" ref="B145:B149">_xlfn.UNIQUE(Database_Product!$C$5:$C$104)</f>
        <v>Phones</v>
      </c>
      <c r="C145" s="29">
        <f>(SUMIFS(Database_Product!$D:$D,Database_Product!$C:$C,Analysis!$B145,Database_Product!$B:$B,Analysis!C$144)-
SUMIFS(Database_Product!$D:$D,Database_Product!$C:$C,Analysis!$B145,Database_Product!$B:$B,Analysis!C$143))*
SUMIFS(Database_Product!$E:$E,Database_Product!$C:$C,Analysis!$B145,Database_Product!$B:$B,Analysis!C$143)</f>
        <v>329040</v>
      </c>
      <c r="D145" s="29">
        <f>(SUMIFS(Database_Product!$D:$D,Database_Product!$C:$C,Analysis!$B145,Database_Product!$B:$B,Analysis!D$144)-
SUMIFS(Database_Product!$D:$D,Database_Product!$C:$C,Analysis!$B145,Database_Product!$B:$B,Analysis!D$143))*
SUMIFS(Database_Product!$E:$E,Database_Product!$C:$C,Analysis!$B145,Database_Product!$B:$B,Analysis!D$143)</f>
        <v>430220</v>
      </c>
      <c r="E145" s="29">
        <f>(SUMIFS(Database_Product!$D:$D,Database_Product!$C:$C,Analysis!$B145,Database_Product!$B:$B,Analysis!E$144)-
SUMIFS(Database_Product!$D:$D,Database_Product!$C:$C,Analysis!$B145,Database_Product!$B:$B,Analysis!E$143))*
SUMIFS(Database_Product!$E:$E,Database_Product!$C:$C,Analysis!$B145,Database_Product!$B:$B,Analysis!E$143)</f>
        <v>522340</v>
      </c>
      <c r="F145" s="29">
        <f>(SUMIFS(Database_Product!$D:$D,Database_Product!$C:$C,Analysis!$B145,Database_Product!$B:$B,Analysis!F$144)-
SUMIFS(Database_Product!$D:$D,Database_Product!$C:$C,Analysis!$B145,Database_Product!$B:$B,Analysis!F$143))*
SUMIFS(Database_Product!$E:$E,Database_Product!$C:$C,Analysis!$B145,Database_Product!$B:$B,Analysis!F$143)</f>
        <v>586850</v>
      </c>
      <c r="G145" s="29">
        <f>(SUMIFS(Database_Product!$D:$D,Database_Product!$C:$C,Analysis!$B145,Database_Product!$B:$B,Analysis!G$144)-
SUMIFS(Database_Product!$D:$D,Database_Product!$C:$C,Analysis!$B145,Database_Product!$B:$B,Analysis!G$143))*
SUMIFS(Database_Product!$E:$E,Database_Product!$C:$C,Analysis!$B145,Database_Product!$B:$B,Analysis!G$143)</f>
        <v>541818</v>
      </c>
      <c r="H145" s="29">
        <f>(SUMIFS(Database_Product!$D:$D,Database_Product!$C:$C,Analysis!$B145,Database_Product!$B:$B,Analysis!H$144)-
SUMIFS(Database_Product!$D:$D,Database_Product!$C:$C,Analysis!$B145,Database_Product!$B:$B,Analysis!H$143))*
SUMIFS(Database_Product!$E:$E,Database_Product!$C:$C,Analysis!$B145,Database_Product!$B:$B,Analysis!H$143)</f>
        <v>613431</v>
      </c>
      <c r="I145" s="29">
        <f>(SUMIFS(Database_Product!$D:$D,Database_Product!$C:$C,Analysis!$B145,Database_Product!$B:$B,Analysis!I$144)-
SUMIFS(Database_Product!$D:$D,Database_Product!$C:$C,Analysis!$B145,Database_Product!$B:$B,Analysis!I$143))*
SUMIFS(Database_Product!$E:$E,Database_Product!$C:$C,Analysis!$B145,Database_Product!$B:$B,Analysis!I$143)</f>
        <v>550848</v>
      </c>
      <c r="J145" s="29">
        <f>(SUMIFS(Database_Product!$D:$D,Database_Product!$C:$C,Analysis!$B145,Database_Product!$B:$B,Analysis!J$144)-
SUMIFS(Database_Product!$D:$D,Database_Product!$C:$C,Analysis!$B145,Database_Product!$B:$B,Analysis!J$143))*
SUMIFS(Database_Product!$E:$E,Database_Product!$C:$C,Analysis!$B145,Database_Product!$B:$B,Analysis!J$143)</f>
        <v>525980</v>
      </c>
      <c r="K145" s="29">
        <f>SUM(C145:J145)</f>
        <v>4100527</v>
      </c>
    </row>
    <row r="146" spans="2:11">
      <c r="B146" t="str">
        <v>Laptop</v>
      </c>
      <c r="C146" s="29">
        <f>(SUMIFS(Database_Product!$D:$D,Database_Product!$C:$C,Analysis!$B146,Database_Product!$B:$B,Analysis!C$144)-
SUMIFS(Database_Product!$D:$D,Database_Product!$C:$C,Analysis!$B146,Database_Product!$B:$B,Analysis!C$143))*
SUMIFS(Database_Product!$E:$E,Database_Product!$C:$C,Analysis!$B146,Database_Product!$B:$B,Analysis!C$143)</f>
        <v>1003314</v>
      </c>
      <c r="D146" s="29">
        <f>(SUMIFS(Database_Product!$D:$D,Database_Product!$C:$C,Analysis!$B146,Database_Product!$B:$B,Analysis!D$144)-
SUMIFS(Database_Product!$D:$D,Database_Product!$C:$C,Analysis!$B146,Database_Product!$B:$B,Analysis!D$143))*
SUMIFS(Database_Product!$E:$E,Database_Product!$C:$C,Analysis!$B146,Database_Product!$B:$B,Analysis!D$143)</f>
        <v>1211700</v>
      </c>
      <c r="E146" s="29">
        <f>(SUMIFS(Database_Product!$D:$D,Database_Product!$C:$C,Analysis!$B146,Database_Product!$B:$B,Analysis!E$144)-
SUMIFS(Database_Product!$D:$D,Database_Product!$C:$C,Analysis!$B146,Database_Product!$B:$B,Analysis!E$143))*
SUMIFS(Database_Product!$E:$E,Database_Product!$C:$C,Analysis!$B146,Database_Product!$B:$B,Analysis!E$143)</f>
        <v>1503684</v>
      </c>
      <c r="F146" s="29">
        <f>(SUMIFS(Database_Product!$D:$D,Database_Product!$C:$C,Analysis!$B146,Database_Product!$B:$B,Analysis!F$144)-
SUMIFS(Database_Product!$D:$D,Database_Product!$C:$C,Analysis!$B146,Database_Product!$B:$B,Analysis!F$143))*
SUMIFS(Database_Product!$E:$E,Database_Product!$C:$C,Analysis!$B146,Database_Product!$B:$B,Analysis!F$143)</f>
        <v>1251140</v>
      </c>
      <c r="G146" s="29">
        <f>(SUMIFS(Database_Product!$D:$D,Database_Product!$C:$C,Analysis!$B146,Database_Product!$B:$B,Analysis!G$144)-
SUMIFS(Database_Product!$D:$D,Database_Product!$C:$C,Analysis!$B146,Database_Product!$B:$B,Analysis!G$143))*
SUMIFS(Database_Product!$E:$E,Database_Product!$C:$C,Analysis!$B146,Database_Product!$B:$B,Analysis!G$143)</f>
        <v>1497652</v>
      </c>
      <c r="H146" s="29">
        <f>(SUMIFS(Database_Product!$D:$D,Database_Product!$C:$C,Analysis!$B146,Database_Product!$B:$B,Analysis!H$144)-
SUMIFS(Database_Product!$D:$D,Database_Product!$C:$C,Analysis!$B146,Database_Product!$B:$B,Analysis!H$143))*
SUMIFS(Database_Product!$E:$E,Database_Product!$C:$C,Analysis!$B146,Database_Product!$B:$B,Analysis!H$143)</f>
        <v>1708112</v>
      </c>
      <c r="I146" s="29">
        <f>(SUMIFS(Database_Product!$D:$D,Database_Product!$C:$C,Analysis!$B146,Database_Product!$B:$B,Analysis!I$144)-
SUMIFS(Database_Product!$D:$D,Database_Product!$C:$C,Analysis!$B146,Database_Product!$B:$B,Analysis!I$143))*
SUMIFS(Database_Product!$E:$E,Database_Product!$C:$C,Analysis!$B146,Database_Product!$B:$B,Analysis!I$143)</f>
        <v>1868790</v>
      </c>
      <c r="J146" s="29">
        <f>(SUMIFS(Database_Product!$D:$D,Database_Product!$C:$C,Analysis!$B146,Database_Product!$B:$B,Analysis!J$144)-
SUMIFS(Database_Product!$D:$D,Database_Product!$C:$C,Analysis!$B146,Database_Product!$B:$B,Analysis!J$143))*
SUMIFS(Database_Product!$E:$E,Database_Product!$C:$C,Analysis!$B146,Database_Product!$B:$B,Analysis!J$143)</f>
        <v>1949155</v>
      </c>
      <c r="K146" s="29">
        <f>SUM(C146:J146)</f>
        <v>11993547</v>
      </c>
    </row>
    <row r="147" spans="2:11">
      <c r="B147" t="str">
        <v>Monitors</v>
      </c>
      <c r="C147" s="29">
        <f>(SUMIFS(Database_Product!$D:$D,Database_Product!$C:$C,Analysis!$B147,Database_Product!$B:$B,Analysis!C$144)-
SUMIFS(Database_Product!$D:$D,Database_Product!$C:$C,Analysis!$B147,Database_Product!$B:$B,Analysis!C$143))*
SUMIFS(Database_Product!$E:$E,Database_Product!$C:$C,Analysis!$B147,Database_Product!$B:$B,Analysis!C$143)</f>
        <v>96660</v>
      </c>
      <c r="D147" s="29">
        <f>(SUMIFS(Database_Product!$D:$D,Database_Product!$C:$C,Analysis!$B147,Database_Product!$B:$B,Analysis!D$144)-
SUMIFS(Database_Product!$D:$D,Database_Product!$C:$C,Analysis!$B147,Database_Product!$B:$B,Analysis!D$143))*
SUMIFS(Database_Product!$E:$E,Database_Product!$C:$C,Analysis!$B147,Database_Product!$B:$B,Analysis!D$143)</f>
        <v>112480</v>
      </c>
      <c r="E147" s="29">
        <f>(SUMIFS(Database_Product!$D:$D,Database_Product!$C:$C,Analysis!$B147,Database_Product!$B:$B,Analysis!E$144)-
SUMIFS(Database_Product!$D:$D,Database_Product!$C:$C,Analysis!$B147,Database_Product!$B:$B,Analysis!E$143))*
SUMIFS(Database_Product!$E:$E,Database_Product!$C:$C,Analysis!$B147,Database_Product!$B:$B,Analysis!E$143)</f>
        <v>89836</v>
      </c>
      <c r="F147" s="29">
        <f>(SUMIFS(Database_Product!$D:$D,Database_Product!$C:$C,Analysis!$B147,Database_Product!$B:$B,Analysis!F$144)-
SUMIFS(Database_Product!$D:$D,Database_Product!$C:$C,Analysis!$B147,Database_Product!$B:$B,Analysis!F$143))*
SUMIFS(Database_Product!$E:$E,Database_Product!$C:$C,Analysis!$B147,Database_Product!$B:$B,Analysis!F$143)</f>
        <v>58026</v>
      </c>
      <c r="G147" s="29">
        <f>(SUMIFS(Database_Product!$D:$D,Database_Product!$C:$C,Analysis!$B147,Database_Product!$B:$B,Analysis!G$144)-
SUMIFS(Database_Product!$D:$D,Database_Product!$C:$C,Analysis!$B147,Database_Product!$B:$B,Analysis!G$143))*
SUMIFS(Database_Product!$E:$E,Database_Product!$C:$C,Analysis!$B147,Database_Product!$B:$B,Analysis!G$143)</f>
        <v>111585</v>
      </c>
      <c r="H147" s="29">
        <f>(SUMIFS(Database_Product!$D:$D,Database_Product!$C:$C,Analysis!$B147,Database_Product!$B:$B,Analysis!H$144)-
SUMIFS(Database_Product!$D:$D,Database_Product!$C:$C,Analysis!$B147,Database_Product!$B:$B,Analysis!H$143))*
SUMIFS(Database_Product!$E:$E,Database_Product!$C:$C,Analysis!$B147,Database_Product!$B:$B,Analysis!H$143)</f>
        <v>166583</v>
      </c>
      <c r="I147" s="29">
        <f>(SUMIFS(Database_Product!$D:$D,Database_Product!$C:$C,Analysis!$B147,Database_Product!$B:$B,Analysis!I$144)-
SUMIFS(Database_Product!$D:$D,Database_Product!$C:$C,Analysis!$B147,Database_Product!$B:$B,Analysis!I$143))*
SUMIFS(Database_Product!$E:$E,Database_Product!$C:$C,Analysis!$B147,Database_Product!$B:$B,Analysis!I$143)</f>
        <v>156735</v>
      </c>
      <c r="J147" s="29">
        <f>(SUMIFS(Database_Product!$D:$D,Database_Product!$C:$C,Analysis!$B147,Database_Product!$B:$B,Analysis!J$144)-
SUMIFS(Database_Product!$D:$D,Database_Product!$C:$C,Analysis!$B147,Database_Product!$B:$B,Analysis!J$143))*
SUMIFS(Database_Product!$E:$E,Database_Product!$C:$C,Analysis!$B147,Database_Product!$B:$B,Analysis!J$143)</f>
        <v>133770</v>
      </c>
      <c r="K147" s="29">
        <f>SUM(C147:J147)</f>
        <v>925675</v>
      </c>
    </row>
    <row r="148" spans="2:11">
      <c r="B148" t="str">
        <v>PC</v>
      </c>
      <c r="C148" s="29">
        <f>(SUMIFS(Database_Product!$D:$D,Database_Product!$C:$C,Analysis!$B148,Database_Product!$B:$B,Analysis!C$144)-
SUMIFS(Database_Product!$D:$D,Database_Product!$C:$C,Analysis!$B148,Database_Product!$B:$B,Analysis!C$143))*
SUMIFS(Database_Product!$E:$E,Database_Product!$C:$C,Analysis!$B148,Database_Product!$B:$B,Analysis!C$143)</f>
        <v>283860</v>
      </c>
      <c r="D148" s="29">
        <f>(SUMIFS(Database_Product!$D:$D,Database_Product!$C:$C,Analysis!$B148,Database_Product!$B:$B,Analysis!D$144)-
SUMIFS(Database_Product!$D:$D,Database_Product!$C:$C,Analysis!$B148,Database_Product!$B:$B,Analysis!D$143))*
SUMIFS(Database_Product!$E:$E,Database_Product!$C:$C,Analysis!$B148,Database_Product!$B:$B,Analysis!D$143)</f>
        <v>324584</v>
      </c>
      <c r="E148" s="29">
        <f>(SUMIFS(Database_Product!$D:$D,Database_Product!$C:$C,Analysis!$B148,Database_Product!$B:$B,Analysis!E$144)-
SUMIFS(Database_Product!$D:$D,Database_Product!$C:$C,Analysis!$B148,Database_Product!$B:$B,Analysis!E$143))*
SUMIFS(Database_Product!$E:$E,Database_Product!$C:$C,Analysis!$B148,Database_Product!$B:$B,Analysis!E$143)</f>
        <v>181071</v>
      </c>
      <c r="F148" s="29">
        <f>(SUMIFS(Database_Product!$D:$D,Database_Product!$C:$C,Analysis!$B148,Database_Product!$B:$B,Analysis!F$144)-
SUMIFS(Database_Product!$D:$D,Database_Product!$C:$C,Analysis!$B148,Database_Product!$B:$B,Analysis!F$143))*
SUMIFS(Database_Product!$E:$E,Database_Product!$C:$C,Analysis!$B148,Database_Product!$B:$B,Analysis!F$143)</f>
        <v>152300</v>
      </c>
      <c r="G148" s="29">
        <f>(SUMIFS(Database_Product!$D:$D,Database_Product!$C:$C,Analysis!$B148,Database_Product!$B:$B,Analysis!G$144)-
SUMIFS(Database_Product!$D:$D,Database_Product!$C:$C,Analysis!$B148,Database_Product!$B:$B,Analysis!G$143))*
SUMIFS(Database_Product!$E:$E,Database_Product!$C:$C,Analysis!$B148,Database_Product!$B:$B,Analysis!G$143)</f>
        <v>128778</v>
      </c>
      <c r="H148" s="29">
        <f>(SUMIFS(Database_Product!$D:$D,Database_Product!$C:$C,Analysis!$B148,Database_Product!$B:$B,Analysis!H$144)-
SUMIFS(Database_Product!$D:$D,Database_Product!$C:$C,Analysis!$B148,Database_Product!$B:$B,Analysis!H$143))*
SUMIFS(Database_Product!$E:$E,Database_Product!$C:$C,Analysis!$B148,Database_Product!$B:$B,Analysis!H$143)</f>
        <v>171054</v>
      </c>
      <c r="I148" s="29">
        <f>(SUMIFS(Database_Product!$D:$D,Database_Product!$C:$C,Analysis!$B148,Database_Product!$B:$B,Analysis!I$144)-
SUMIFS(Database_Product!$D:$D,Database_Product!$C:$C,Analysis!$B148,Database_Product!$B:$B,Analysis!I$143))*
SUMIFS(Database_Product!$E:$E,Database_Product!$C:$C,Analysis!$B148,Database_Product!$B:$B,Analysis!I$143)</f>
        <v>269920</v>
      </c>
      <c r="J148" s="29">
        <f>(SUMIFS(Database_Product!$D:$D,Database_Product!$C:$C,Analysis!$B148,Database_Product!$B:$B,Analysis!J$144)-
SUMIFS(Database_Product!$D:$D,Database_Product!$C:$C,Analysis!$B148,Database_Product!$B:$B,Analysis!J$143))*
SUMIFS(Database_Product!$E:$E,Database_Product!$C:$C,Analysis!$B148,Database_Product!$B:$B,Analysis!J$143)</f>
        <v>246807</v>
      </c>
      <c r="K148" s="29">
        <f>SUM(C148:J148)</f>
        <v>1758374</v>
      </c>
    </row>
    <row r="149" spans="2:11">
      <c r="B149" t="str">
        <v>Accessories</v>
      </c>
      <c r="C149" s="29">
        <f>(SUMIFS(Database_Product!$D:$D,Database_Product!$C:$C,Analysis!$B149,Database_Product!$B:$B,Analysis!C$144)-
SUMIFS(Database_Product!$D:$D,Database_Product!$C:$C,Analysis!$B149,Database_Product!$B:$B,Analysis!C$143))*
SUMIFS(Database_Product!$E:$E,Database_Product!$C:$C,Analysis!$B149,Database_Product!$B:$B,Analysis!C$143)</f>
        <v>45496</v>
      </c>
      <c r="D149" s="29">
        <f>(SUMIFS(Database_Product!$D:$D,Database_Product!$C:$C,Analysis!$B149,Database_Product!$B:$B,Analysis!D$144)-
SUMIFS(Database_Product!$D:$D,Database_Product!$C:$C,Analysis!$B149,Database_Product!$B:$B,Analysis!D$143))*
SUMIFS(Database_Product!$E:$E,Database_Product!$C:$C,Analysis!$B149,Database_Product!$B:$B,Analysis!D$143)</f>
        <v>33800</v>
      </c>
      <c r="E149" s="29">
        <f>(SUMIFS(Database_Product!$D:$D,Database_Product!$C:$C,Analysis!$B149,Database_Product!$B:$B,Analysis!E$144)-
SUMIFS(Database_Product!$D:$D,Database_Product!$C:$C,Analysis!$B149,Database_Product!$B:$B,Analysis!E$143))*
SUMIFS(Database_Product!$E:$E,Database_Product!$C:$C,Analysis!$B149,Database_Product!$B:$B,Analysis!E$143)</f>
        <v>35616</v>
      </c>
      <c r="F149" s="29">
        <f>(SUMIFS(Database_Product!$D:$D,Database_Product!$C:$C,Analysis!$B149,Database_Product!$B:$B,Analysis!F$144)-
SUMIFS(Database_Product!$D:$D,Database_Product!$C:$C,Analysis!$B149,Database_Product!$B:$B,Analysis!F$143))*
SUMIFS(Database_Product!$E:$E,Database_Product!$C:$C,Analysis!$B149,Database_Product!$B:$B,Analysis!F$143)</f>
        <v>39072</v>
      </c>
      <c r="G149" s="29">
        <f>(SUMIFS(Database_Product!$D:$D,Database_Product!$C:$C,Analysis!$B149,Database_Product!$B:$B,Analysis!G$144)-
SUMIFS(Database_Product!$D:$D,Database_Product!$C:$C,Analysis!$B149,Database_Product!$B:$B,Analysis!G$143))*
SUMIFS(Database_Product!$E:$E,Database_Product!$C:$C,Analysis!$B149,Database_Product!$B:$B,Analysis!G$143)</f>
        <v>35670</v>
      </c>
      <c r="H149" s="29">
        <f>(SUMIFS(Database_Product!$D:$D,Database_Product!$C:$C,Analysis!$B149,Database_Product!$B:$B,Analysis!H$144)-
SUMIFS(Database_Product!$D:$D,Database_Product!$C:$C,Analysis!$B149,Database_Product!$B:$B,Analysis!H$143))*
SUMIFS(Database_Product!$E:$E,Database_Product!$C:$C,Analysis!$B149,Database_Product!$B:$B,Analysis!H$143)</f>
        <v>29190</v>
      </c>
      <c r="I149" s="29">
        <f>(SUMIFS(Database_Product!$D:$D,Database_Product!$C:$C,Analysis!$B149,Database_Product!$B:$B,Analysis!I$144)-
SUMIFS(Database_Product!$D:$D,Database_Product!$C:$C,Analysis!$B149,Database_Product!$B:$B,Analysis!I$143))*
SUMIFS(Database_Product!$E:$E,Database_Product!$C:$C,Analysis!$B149,Database_Product!$B:$B,Analysis!I$143)</f>
        <v>21210</v>
      </c>
      <c r="J149" s="29">
        <f>(SUMIFS(Database_Product!$D:$D,Database_Product!$C:$C,Analysis!$B149,Database_Product!$B:$B,Analysis!J$144)-
SUMIFS(Database_Product!$D:$D,Database_Product!$C:$C,Analysis!$B149,Database_Product!$B:$B,Analysis!J$143))*
SUMIFS(Database_Product!$E:$E,Database_Product!$C:$C,Analysis!$B149,Database_Product!$B:$B,Analysis!J$143)</f>
        <v>30629</v>
      </c>
      <c r="K149" s="29">
        <f>SUM(C149:J149)</f>
        <v>270683</v>
      </c>
    </row>
    <row r="150" spans="2:11">
      <c r="B150" s="34" t="s">
        <v>39</v>
      </c>
      <c r="C150" s="34">
        <f>SUM(C145:C149)</f>
        <v>1758370</v>
      </c>
      <c r="D150" s="34">
        <f t="shared" ref="D150:K150" si="26">SUM(D145:D149)</f>
        <v>2112784</v>
      </c>
      <c r="E150" s="34">
        <f t="shared" si="26"/>
        <v>2332547</v>
      </c>
      <c r="F150" s="34">
        <f t="shared" si="26"/>
        <v>2087388</v>
      </c>
      <c r="G150" s="34">
        <f t="shared" si="26"/>
        <v>2315503</v>
      </c>
      <c r="H150" s="34">
        <f t="shared" si="26"/>
        <v>2688370</v>
      </c>
      <c r="I150" s="34">
        <f t="shared" si="26"/>
        <v>2867503</v>
      </c>
      <c r="J150" s="34">
        <f t="shared" si="26"/>
        <v>2886341</v>
      </c>
      <c r="K150" s="34">
        <f t="shared" si="26"/>
        <v>19048806</v>
      </c>
    </row>
    <row r="152" spans="2:11">
      <c r="B152" s="32" t="s">
        <v>54</v>
      </c>
      <c r="C152" s="27"/>
      <c r="D152" s="27"/>
      <c r="E152" s="27"/>
      <c r="F152" s="27"/>
      <c r="G152" s="27"/>
      <c r="H152" s="27"/>
      <c r="I152" s="27"/>
      <c r="J152" s="27"/>
    </row>
    <row r="153" spans="2:11">
      <c r="B153" s="20" t="s">
        <v>2</v>
      </c>
      <c r="C153" s="38" t="s">
        <v>57</v>
      </c>
      <c r="D153" s="38" t="s">
        <v>58</v>
      </c>
      <c r="E153" s="38" t="s">
        <v>59</v>
      </c>
      <c r="F153" s="38" t="s">
        <v>60</v>
      </c>
      <c r="G153" s="38" t="s">
        <v>61</v>
      </c>
      <c r="H153" s="38" t="s">
        <v>62</v>
      </c>
      <c r="I153" s="38" t="s">
        <v>64</v>
      </c>
      <c r="J153" s="38" t="s">
        <v>63</v>
      </c>
      <c r="K153" s="35" t="s">
        <v>50</v>
      </c>
    </row>
    <row r="154" spans="2:11" ht="24.5" customHeight="1">
      <c r="B154" t="str" cm="1">
        <f t="array" ref="B154:B158">_xlfn.ANCHORARRAY(B145)</f>
        <v>Phones</v>
      </c>
      <c r="C154" s="36">
        <f>C135/C116</f>
        <v>0.12002616040976492</v>
      </c>
      <c r="D154" s="36">
        <f t="shared" ref="D154:J154" si="27">D135/D116</f>
        <v>-0.12530971738288813</v>
      </c>
      <c r="E154" s="36">
        <f t="shared" si="27"/>
        <v>-0.10958454810495627</v>
      </c>
      <c r="F154" s="36">
        <f t="shared" si="27"/>
        <v>-5.5088590873847744E-2</v>
      </c>
      <c r="G154" s="36">
        <f t="shared" si="27"/>
        <v>-8.4752311264836469E-2</v>
      </c>
      <c r="H154" s="36">
        <f t="shared" si="27"/>
        <v>-2.8462192013593884E-2</v>
      </c>
      <c r="I154" s="36">
        <f t="shared" si="27"/>
        <v>0.11469557770165058</v>
      </c>
      <c r="J154" s="36">
        <f t="shared" si="27"/>
        <v>4.8725274725274728E-2</v>
      </c>
      <c r="K154" s="36">
        <f>K135/K116</f>
        <v>-1.4584150422021876E-2</v>
      </c>
    </row>
    <row r="155" spans="2:11" ht="24.5" customHeight="1">
      <c r="B155" t="str">
        <v>Laptop</v>
      </c>
      <c r="C155" s="36">
        <f t="shared" ref="C155:K155" si="28">C136/C117</f>
        <v>1.8906208883350893E-3</v>
      </c>
      <c r="D155" s="36">
        <f t="shared" si="28"/>
        <v>0.26272281064324465</v>
      </c>
      <c r="E155" s="36">
        <f t="shared" si="28"/>
        <v>-0.23493472079162595</v>
      </c>
      <c r="F155" s="36">
        <f t="shared" si="28"/>
        <v>0.32293161539901416</v>
      </c>
      <c r="G155" s="36">
        <f t="shared" si="28"/>
        <v>-8.6578873634071171E-2</v>
      </c>
      <c r="H155" s="36">
        <f t="shared" si="28"/>
        <v>-0.19134933774834437</v>
      </c>
      <c r="I155" s="36">
        <f t="shared" si="28"/>
        <v>-1.9404712853414954E-2</v>
      </c>
      <c r="J155" s="36">
        <f t="shared" si="28"/>
        <v>-0.17474560343670292</v>
      </c>
      <c r="K155" s="36">
        <f t="shared" si="28"/>
        <v>-3.6615173345006274E-2</v>
      </c>
    </row>
    <row r="156" spans="2:11" ht="24.5" customHeight="1">
      <c r="B156" t="str">
        <v>Monitors</v>
      </c>
      <c r="C156" s="36">
        <f t="shared" ref="C156:K156" si="29">C137/C118</f>
        <v>-0.20479423868312757</v>
      </c>
      <c r="D156" s="36">
        <f t="shared" si="29"/>
        <v>0.2929925893635571</v>
      </c>
      <c r="E156" s="36">
        <f t="shared" si="29"/>
        <v>-0.299193618312668</v>
      </c>
      <c r="F156" s="36">
        <f t="shared" si="29"/>
        <v>0.65402900463414271</v>
      </c>
      <c r="G156" s="36">
        <f t="shared" si="29"/>
        <v>-0.50372777017783854</v>
      </c>
      <c r="H156" s="36">
        <f t="shared" si="29"/>
        <v>-0.64474277515884404</v>
      </c>
      <c r="I156" s="36">
        <f t="shared" si="29"/>
        <v>-0.10694510362284448</v>
      </c>
      <c r="J156" s="36">
        <f t="shared" si="29"/>
        <v>-0.27916764086976853</v>
      </c>
      <c r="K156" s="36">
        <f t="shared" si="29"/>
        <v>-0.18815648437338242</v>
      </c>
    </row>
    <row r="157" spans="2:11" ht="24.5" customHeight="1">
      <c r="B157" t="str">
        <v>PC</v>
      </c>
      <c r="C157" s="36">
        <f t="shared" ref="C157:K157" si="30">C138/C119</f>
        <v>-9.8995606486094751E-3</v>
      </c>
      <c r="D157" s="36">
        <f t="shared" si="30"/>
        <v>8.639257816165212E-2</v>
      </c>
      <c r="E157" s="36">
        <f t="shared" si="30"/>
        <v>6.1174049493234552E-2</v>
      </c>
      <c r="F157" s="36">
        <f t="shared" si="30"/>
        <v>7.4182910438041372E-2</v>
      </c>
      <c r="G157" s="36">
        <f t="shared" si="30"/>
        <v>-8.7157515943991168E-2</v>
      </c>
      <c r="H157" s="36">
        <f t="shared" si="30"/>
        <v>4.0489576868314413E-2</v>
      </c>
      <c r="I157" s="36">
        <f t="shared" si="30"/>
        <v>1.2455573385450639E-2</v>
      </c>
      <c r="J157" s="36">
        <f t="shared" si="30"/>
        <v>-7.6533219990638471E-4</v>
      </c>
      <c r="K157" s="36">
        <f t="shared" si="30"/>
        <v>2.1338023018398111E-2</v>
      </c>
    </row>
    <row r="158" spans="2:11" ht="24.5" customHeight="1">
      <c r="B158" t="str">
        <v>Accessories</v>
      </c>
      <c r="C158" s="36">
        <f t="shared" ref="C158:K158" si="31">C139/C120</f>
        <v>0.17390701959779153</v>
      </c>
      <c r="D158" s="36">
        <f t="shared" si="31"/>
        <v>0.15805532953620829</v>
      </c>
      <c r="E158" s="36">
        <f t="shared" si="31"/>
        <v>4.7758967857409206E-2</v>
      </c>
      <c r="F158" s="36">
        <f t="shared" si="31"/>
        <v>-0.18686784944453655</v>
      </c>
      <c r="G158" s="36">
        <f t="shared" si="31"/>
        <v>0.13812756684267874</v>
      </c>
      <c r="H158" s="36">
        <f t="shared" si="31"/>
        <v>-5.7081588890023488E-2</v>
      </c>
      <c r="I158" s="36">
        <f t="shared" si="31"/>
        <v>0.45496598639455782</v>
      </c>
      <c r="J158" s="36">
        <f t="shared" si="31"/>
        <v>0.31851923386447772</v>
      </c>
      <c r="K158" s="36">
        <f t="shared" si="31"/>
        <v>0.1226891168617702</v>
      </c>
    </row>
    <row r="159" spans="2:11" ht="24.5" customHeight="1">
      <c r="B159" s="34" t="s">
        <v>39</v>
      </c>
      <c r="C159" s="37">
        <f>IFERROR(C140/C121,"-")</f>
        <v>2.440244988385612E-2</v>
      </c>
      <c r="D159" s="37">
        <f t="shared" ref="D159:K159" si="32">IFERROR(D140/D121,"-")</f>
        <v>0.10698327217012868</v>
      </c>
      <c r="E159" s="37">
        <f t="shared" si="32"/>
        <v>-9.0313720577545678E-2</v>
      </c>
      <c r="F159" s="37">
        <f t="shared" si="32"/>
        <v>0.13244433356537461</v>
      </c>
      <c r="G159" s="37">
        <f t="shared" si="32"/>
        <v>-8.6222552138458197E-2</v>
      </c>
      <c r="H159" s="37">
        <f t="shared" si="32"/>
        <v>-8.0883988385993297E-2</v>
      </c>
      <c r="I159" s="37">
        <f t="shared" si="32"/>
        <v>3.0329076342795139E-2</v>
      </c>
      <c r="J159" s="37">
        <f t="shared" si="32"/>
        <v>-6.090338482922588E-2</v>
      </c>
      <c r="K159" s="37">
        <f t="shared" si="32"/>
        <v>-7.1304534945877875E-3</v>
      </c>
    </row>
    <row r="188" spans="2:11">
      <c r="B188" s="32" t="s">
        <v>65</v>
      </c>
      <c r="C188" s="27"/>
      <c r="D188" s="27"/>
      <c r="E188" s="27"/>
      <c r="F188" s="27"/>
      <c r="G188" s="27"/>
      <c r="H188" s="27"/>
      <c r="I188" s="27"/>
      <c r="J188" s="27"/>
    </row>
    <row r="189" spans="2:11">
      <c r="B189" s="20" t="s">
        <v>2</v>
      </c>
      <c r="C189" s="38" t="s">
        <v>57</v>
      </c>
      <c r="D189" s="38" t="s">
        <v>58</v>
      </c>
      <c r="E189" s="38" t="s">
        <v>59</v>
      </c>
      <c r="F189" s="38" t="s">
        <v>60</v>
      </c>
      <c r="G189" s="38" t="s">
        <v>61</v>
      </c>
      <c r="H189" s="38" t="s">
        <v>62</v>
      </c>
      <c r="I189" s="38" t="s">
        <v>64</v>
      </c>
      <c r="J189" s="38" t="s">
        <v>63</v>
      </c>
      <c r="K189" s="35" t="s">
        <v>50</v>
      </c>
    </row>
    <row r="190" spans="2:11" ht="28.5" customHeight="1">
      <c r="B190" t="str" cm="1">
        <f t="array" ref="B190:B194">_xlfn.ANCHORARRAY(B145)</f>
        <v>Phones</v>
      </c>
      <c r="C190" s="36">
        <f>C145/C116</f>
        <v>0.5027932960893855</v>
      </c>
      <c r="D190" s="36">
        <f t="shared" ref="D190:J190" si="33">D145/D116</f>
        <v>0.59485094850948506</v>
      </c>
      <c r="E190" s="36">
        <f t="shared" si="33"/>
        <v>0.7321428571428571</v>
      </c>
      <c r="F190" s="36">
        <f t="shared" si="33"/>
        <v>0.84261838440111425</v>
      </c>
      <c r="G190" s="36">
        <f t="shared" si="33"/>
        <v>0.71446862996158766</v>
      </c>
      <c r="H190" s="36">
        <f t="shared" si="33"/>
        <v>0.82727272727272727</v>
      </c>
      <c r="I190" s="36">
        <f t="shared" si="33"/>
        <v>0.71479289940828405</v>
      </c>
      <c r="J190" s="36">
        <f t="shared" si="33"/>
        <v>0.64222222222222225</v>
      </c>
      <c r="K190" s="36">
        <f>K145/K116</f>
        <v>0.69771680251962498</v>
      </c>
    </row>
    <row r="191" spans="2:11" ht="28.5" customHeight="1">
      <c r="B191" t="str">
        <v>Laptop</v>
      </c>
      <c r="C191" s="36">
        <f t="shared" ref="C191:K191" si="34">C146/C117</f>
        <v>0.91992551210428308</v>
      </c>
      <c r="D191" s="36">
        <f t="shared" si="34"/>
        <v>1.0433996383363473</v>
      </c>
      <c r="E191" s="36">
        <f t="shared" si="34"/>
        <v>1.0183028286189684</v>
      </c>
      <c r="F191" s="36">
        <f t="shared" si="34"/>
        <v>0.97580645161290325</v>
      </c>
      <c r="G191" s="36">
        <f t="shared" si="34"/>
        <v>1.075968992248062</v>
      </c>
      <c r="H191" s="36">
        <f t="shared" si="34"/>
        <v>1.01</v>
      </c>
      <c r="I191" s="36">
        <f t="shared" si="34"/>
        <v>1.0476190476190477</v>
      </c>
      <c r="J191" s="36">
        <f t="shared" si="34"/>
        <v>1.0466666666666666</v>
      </c>
      <c r="K191" s="36">
        <f t="shared" si="34"/>
        <v>1.0215995459613223</v>
      </c>
    </row>
    <row r="192" spans="2:11" ht="28.5" customHeight="1">
      <c r="B192" t="str">
        <v>Monitors</v>
      </c>
      <c r="C192" s="36">
        <f t="shared" ref="C192:K192" si="35">C147/C118</f>
        <v>1.9888888888888889</v>
      </c>
      <c r="D192" s="36">
        <f t="shared" si="35"/>
        <v>2.043010752688172</v>
      </c>
      <c r="E192" s="36">
        <f t="shared" si="35"/>
        <v>1.5578947368421052</v>
      </c>
      <c r="F192" s="36">
        <f t="shared" si="35"/>
        <v>0.87022900763358779</v>
      </c>
      <c r="G192" s="36">
        <f t="shared" si="35"/>
        <v>1.2720588235294117</v>
      </c>
      <c r="H192" s="36">
        <f t="shared" si="35"/>
        <v>1.7071428571428571</v>
      </c>
      <c r="I192" s="36">
        <f t="shared" si="35"/>
        <v>1.653061224489796</v>
      </c>
      <c r="J192" s="36">
        <f t="shared" si="35"/>
        <v>1.1170212765957446</v>
      </c>
      <c r="K192" s="36">
        <f t="shared" si="35"/>
        <v>1.474307620514405</v>
      </c>
    </row>
    <row r="193" spans="2:11" ht="28.5" customHeight="1">
      <c r="B193" t="str">
        <v>PC</v>
      </c>
      <c r="C193" s="36">
        <f t="shared" ref="C193:K193" si="36">C148/C119</f>
        <v>0.20089285714285715</v>
      </c>
      <c r="D193" s="36">
        <f t="shared" si="36"/>
        <v>0.22559652928416485</v>
      </c>
      <c r="E193" s="36">
        <f t="shared" si="36"/>
        <v>0.12421052631578948</v>
      </c>
      <c r="F193" s="36">
        <f t="shared" si="36"/>
        <v>0.10224948875255624</v>
      </c>
      <c r="G193" s="36">
        <f t="shared" si="36"/>
        <v>8.1932773109243698E-2</v>
      </c>
      <c r="H193" s="36">
        <f t="shared" si="36"/>
        <v>0.10408163265306122</v>
      </c>
      <c r="I193" s="36">
        <f t="shared" si="36"/>
        <v>0.16736401673640167</v>
      </c>
      <c r="J193" s="36">
        <f t="shared" si="36"/>
        <v>0.16598360655737704</v>
      </c>
      <c r="K193" s="36">
        <f t="shared" si="36"/>
        <v>0.14515267589579695</v>
      </c>
    </row>
    <row r="194" spans="2:11" ht="28.5" customHeight="1">
      <c r="B194" t="str">
        <v>Accessories</v>
      </c>
      <c r="C194" s="36">
        <f t="shared" ref="C194:K194" si="37">C149/C120</f>
        <v>0.31517183570829843</v>
      </c>
      <c r="D194" s="36">
        <f t="shared" si="37"/>
        <v>0.26444263628966641</v>
      </c>
      <c r="E194" s="36">
        <f t="shared" si="37"/>
        <v>0.26561264822134389</v>
      </c>
      <c r="F194" s="36">
        <f t="shared" si="37"/>
        <v>0.20245398773006135</v>
      </c>
      <c r="G194" s="36">
        <f t="shared" si="37"/>
        <v>0.21354933726067746</v>
      </c>
      <c r="H194" s="36">
        <f t="shared" si="37"/>
        <v>0.19871336669049322</v>
      </c>
      <c r="I194" s="36">
        <f t="shared" si="37"/>
        <v>0.13741496598639455</v>
      </c>
      <c r="J194" s="36">
        <f t="shared" si="37"/>
        <v>0.19719298245614036</v>
      </c>
      <c r="K194" s="36">
        <f t="shared" si="37"/>
        <v>0.22135330844621806</v>
      </c>
    </row>
    <row r="195" spans="2:11">
      <c r="B195" s="34" t="s">
        <v>39</v>
      </c>
      <c r="C195" s="36">
        <f>IFERROR(C150/C121,"-")</f>
        <v>0.52472742595081612</v>
      </c>
      <c r="D195" s="36">
        <f t="shared" ref="D195:J195" si="38">IFERROR(D150/D121,"-")</f>
        <v>0.60258633794545824</v>
      </c>
      <c r="E195" s="36">
        <f t="shared" si="38"/>
        <v>0.60749312368102426</v>
      </c>
      <c r="F195" s="36">
        <f t="shared" si="38"/>
        <v>0.55995396730229885</v>
      </c>
      <c r="G195" s="36">
        <f t="shared" si="38"/>
        <v>0.58225764798390245</v>
      </c>
      <c r="H195" s="36">
        <f t="shared" si="38"/>
        <v>0.62221497021856687</v>
      </c>
      <c r="I195" s="36">
        <f t="shared" si="38"/>
        <v>0.64928193003295431</v>
      </c>
      <c r="J195" s="36">
        <f t="shared" si="38"/>
        <v>0.64959881996737989</v>
      </c>
      <c r="K195" s="36">
        <f>IFERROR(K150/K121,"-")</f>
        <v>0.60315919442264743</v>
      </c>
    </row>
  </sheetData>
  <conditionalFormatting sqref="C154:K159">
    <cfRule type="colorScale" priority="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190:K195">
    <cfRule type="colorScale" priority="1">
      <colorScale>
        <cfvo type="min"/>
        <cfvo type="max"/>
        <color rgb="FFFCFCFF"/>
        <color rgb="FF63BE7B"/>
      </colorScale>
    </cfRule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5D415-A128-4040-97AB-1DA799D9D4D4}">
  <dimension ref="A1"/>
  <sheetViews>
    <sheetView showGridLines="0" tabSelected="1" workbookViewId="0">
      <selection activeCell="U10" sqref="U10"/>
    </sheetView>
  </sheetViews>
  <sheetFormatPr defaultRowHeight="14.5"/>
  <cols>
    <col min="1" max="1" width="1.7265625" customWidth="1"/>
  </cols>
  <sheetData>
    <row r="1" spans="1:1" s="53" customFormat="1" ht="26">
      <c r="A1" s="39" t="s">
        <v>36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20F74-3346-42B3-9709-B5BCC7244C22}">
  <sheetPr>
    <tabColor theme="0"/>
  </sheetPr>
  <dimension ref="A1"/>
  <sheetViews>
    <sheetView topLeftCell="XFD1048576" workbookViewId="0"/>
  </sheetViews>
  <sheetFormatPr defaultColWidth="0" defaultRowHeight="14.5" zeroHeight="1"/>
  <cols>
    <col min="1" max="1" width="0" hidden="1" customWidth="1"/>
    <col min="2" max="16384" width="9.1796875" hidden="1"/>
  </cols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FCB3B-4BC7-4178-9401-9A9E5CA79D13}">
  <dimension ref="A1:G104"/>
  <sheetViews>
    <sheetView showGridLines="0" workbookViewId="0">
      <selection sqref="A1:XFD1"/>
    </sheetView>
  </sheetViews>
  <sheetFormatPr defaultRowHeight="14.5"/>
  <cols>
    <col min="1" max="1" width="1.7265625" customWidth="1"/>
    <col min="2" max="2" width="15.7265625" customWidth="1"/>
    <col min="3" max="3" width="16.54296875" bestFit="1" customWidth="1"/>
    <col min="4" max="6" width="15.7265625" customWidth="1"/>
    <col min="7" max="7" width="9.54296875" bestFit="1" customWidth="1"/>
  </cols>
  <sheetData>
    <row r="1" spans="1:7" s="53" customFormat="1" ht="26">
      <c r="A1" s="39" t="s">
        <v>15</v>
      </c>
    </row>
    <row r="2" spans="1:7">
      <c r="B2" s="1" t="s">
        <v>0</v>
      </c>
    </row>
    <row r="4" spans="1:7"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</row>
    <row r="5" spans="1:7">
      <c r="B5" s="6">
        <v>45322</v>
      </c>
      <c r="C5" s="7" t="s">
        <v>9</v>
      </c>
      <c r="D5" s="8">
        <v>716</v>
      </c>
      <c r="E5" s="8">
        <v>914</v>
      </c>
      <c r="F5" s="8">
        <v>654424</v>
      </c>
      <c r="G5" s="3"/>
    </row>
    <row r="6" spans="1:7">
      <c r="B6" s="6">
        <v>45322</v>
      </c>
      <c r="C6" s="7" t="s">
        <v>10</v>
      </c>
      <c r="D6" s="8">
        <v>537</v>
      </c>
      <c r="E6" s="8">
        <v>2031</v>
      </c>
      <c r="F6" s="8">
        <v>1090647</v>
      </c>
      <c r="G6" s="3"/>
    </row>
    <row r="7" spans="1:7">
      <c r="B7" s="6">
        <v>45322</v>
      </c>
      <c r="C7" s="7" t="s">
        <v>11</v>
      </c>
      <c r="D7" s="8">
        <v>90</v>
      </c>
      <c r="E7" s="8">
        <v>540</v>
      </c>
      <c r="F7" s="8">
        <v>48600</v>
      </c>
      <c r="G7" s="3"/>
    </row>
    <row r="8" spans="1:7">
      <c r="B8" s="6">
        <v>45322</v>
      </c>
      <c r="C8" s="7" t="s">
        <v>12</v>
      </c>
      <c r="D8" s="8">
        <v>448</v>
      </c>
      <c r="E8" s="8">
        <v>3154</v>
      </c>
      <c r="F8" s="8">
        <v>1412992</v>
      </c>
      <c r="G8" s="3"/>
    </row>
    <row r="9" spans="1:7">
      <c r="B9" s="6">
        <v>45322</v>
      </c>
      <c r="C9" s="7" t="s">
        <v>13</v>
      </c>
      <c r="D9" s="8">
        <v>1193</v>
      </c>
      <c r="E9" s="8">
        <v>121</v>
      </c>
      <c r="F9" s="8">
        <v>144353</v>
      </c>
      <c r="G9" s="3"/>
    </row>
    <row r="10" spans="1:7">
      <c r="B10" s="6">
        <v>45351</v>
      </c>
      <c r="C10" s="7" t="s">
        <v>9</v>
      </c>
      <c r="D10" s="8">
        <v>738</v>
      </c>
      <c r="E10" s="8">
        <v>980</v>
      </c>
      <c r="F10" s="8">
        <v>723240</v>
      </c>
      <c r="G10" s="3"/>
    </row>
    <row r="11" spans="1:7">
      <c r="B11" s="6">
        <v>45351</v>
      </c>
      <c r="C11" s="7" t="s">
        <v>10</v>
      </c>
      <c r="D11" s="8">
        <v>553</v>
      </c>
      <c r="E11" s="8">
        <v>2100</v>
      </c>
      <c r="F11" s="8">
        <v>1161300</v>
      </c>
      <c r="G11" s="3"/>
    </row>
    <row r="12" spans="1:7">
      <c r="B12" s="6">
        <v>45351</v>
      </c>
      <c r="C12" s="7" t="s">
        <v>11</v>
      </c>
      <c r="D12" s="8">
        <v>93</v>
      </c>
      <c r="E12" s="8">
        <v>592</v>
      </c>
      <c r="F12" s="8">
        <v>55056</v>
      </c>
      <c r="G12" s="3"/>
    </row>
    <row r="13" spans="1:7">
      <c r="B13" s="6">
        <v>45351</v>
      </c>
      <c r="C13" s="7" t="s">
        <v>12</v>
      </c>
      <c r="D13" s="8">
        <v>461</v>
      </c>
      <c r="E13" s="8">
        <v>3121</v>
      </c>
      <c r="F13" s="8">
        <v>1438781</v>
      </c>
      <c r="G13" s="3"/>
    </row>
    <row r="14" spans="1:7">
      <c r="B14" s="6">
        <v>45351</v>
      </c>
      <c r="C14" s="7" t="s">
        <v>13</v>
      </c>
      <c r="D14" s="8">
        <v>1229</v>
      </c>
      <c r="E14" s="8">
        <v>104</v>
      </c>
      <c r="F14" s="8">
        <v>127816</v>
      </c>
      <c r="G14" s="3"/>
    </row>
    <row r="15" spans="1:7">
      <c r="B15" s="6">
        <v>45382</v>
      </c>
      <c r="C15" s="7" t="s">
        <v>9</v>
      </c>
      <c r="D15" s="8">
        <v>728</v>
      </c>
      <c r="E15" s="8">
        <v>980</v>
      </c>
      <c r="F15" s="8">
        <v>713440</v>
      </c>
      <c r="G15" s="3"/>
    </row>
    <row r="16" spans="1:7">
      <c r="B16" s="6">
        <v>45382</v>
      </c>
      <c r="C16" s="7" t="s">
        <v>10</v>
      </c>
      <c r="D16" s="8">
        <v>601</v>
      </c>
      <c r="E16" s="8">
        <v>2457</v>
      </c>
      <c r="F16" s="8">
        <v>1476657</v>
      </c>
      <c r="G16" s="3"/>
    </row>
    <row r="17" spans="2:7">
      <c r="B17" s="6">
        <v>45382</v>
      </c>
      <c r="C17" s="7" t="s">
        <v>11</v>
      </c>
      <c r="D17" s="8">
        <v>95</v>
      </c>
      <c r="E17" s="8">
        <v>607</v>
      </c>
      <c r="F17" s="8">
        <v>57665</v>
      </c>
      <c r="G17" s="3"/>
    </row>
    <row r="18" spans="2:7">
      <c r="B18" s="6">
        <v>45382</v>
      </c>
      <c r="C18" s="7" t="s">
        <v>12</v>
      </c>
      <c r="D18" s="8">
        <v>475</v>
      </c>
      <c r="E18" s="8">
        <v>3069</v>
      </c>
      <c r="F18" s="8">
        <v>1457775</v>
      </c>
      <c r="G18" s="3"/>
    </row>
    <row r="19" spans="2:7">
      <c r="B19" s="6">
        <v>45382</v>
      </c>
      <c r="C19" s="7" t="s">
        <v>13</v>
      </c>
      <c r="D19" s="8">
        <v>1265</v>
      </c>
      <c r="E19" s="8">
        <v>106</v>
      </c>
      <c r="F19" s="8">
        <v>134090</v>
      </c>
      <c r="G19" s="3"/>
    </row>
    <row r="20" spans="2:7">
      <c r="B20" s="6">
        <v>45412</v>
      </c>
      <c r="C20" s="7" t="s">
        <v>9</v>
      </c>
      <c r="D20" s="8">
        <v>718</v>
      </c>
      <c r="E20" s="8">
        <v>970</v>
      </c>
      <c r="F20" s="8">
        <v>696460</v>
      </c>
      <c r="G20" s="3"/>
    </row>
    <row r="21" spans="2:7">
      <c r="B21" s="6">
        <v>45412</v>
      </c>
      <c r="C21" s="7" t="s">
        <v>10</v>
      </c>
      <c r="D21" s="8">
        <v>620</v>
      </c>
      <c r="E21" s="8">
        <v>2068</v>
      </c>
      <c r="F21" s="8">
        <v>1282160</v>
      </c>
      <c r="G21" s="3"/>
    </row>
    <row r="22" spans="2:7">
      <c r="B22" s="6">
        <v>45412</v>
      </c>
      <c r="C22" s="7" t="s">
        <v>11</v>
      </c>
      <c r="D22" s="8">
        <v>131</v>
      </c>
      <c r="E22" s="8">
        <v>509</v>
      </c>
      <c r="F22" s="8">
        <v>66679</v>
      </c>
      <c r="G22" s="3"/>
    </row>
    <row r="23" spans="2:7">
      <c r="B23" s="6">
        <v>45412</v>
      </c>
      <c r="C23" s="7" t="s">
        <v>12</v>
      </c>
      <c r="D23" s="8">
        <v>489</v>
      </c>
      <c r="E23" s="8">
        <v>3046</v>
      </c>
      <c r="F23" s="8">
        <v>1489494</v>
      </c>
      <c r="G23" s="3"/>
    </row>
    <row r="24" spans="2:7">
      <c r="B24" s="6">
        <v>45412</v>
      </c>
      <c r="C24" s="7" t="s">
        <v>13</v>
      </c>
      <c r="D24" s="8">
        <v>1304</v>
      </c>
      <c r="E24" s="8">
        <v>148</v>
      </c>
      <c r="F24" s="8">
        <v>192992</v>
      </c>
      <c r="G24" s="3"/>
    </row>
    <row r="25" spans="2:7">
      <c r="B25" s="6">
        <v>45443</v>
      </c>
      <c r="C25" s="7" t="s">
        <v>9</v>
      </c>
      <c r="D25" s="8">
        <v>781</v>
      </c>
      <c r="E25" s="8">
        <v>971</v>
      </c>
      <c r="F25" s="8">
        <v>758351</v>
      </c>
      <c r="G25" s="3"/>
    </row>
    <row r="26" spans="2:7">
      <c r="B26" s="6">
        <v>45443</v>
      </c>
      <c r="C26" s="7" t="s">
        <v>10</v>
      </c>
      <c r="D26" s="8">
        <v>645</v>
      </c>
      <c r="E26" s="8">
        <v>2158</v>
      </c>
      <c r="F26" s="8">
        <v>1391910</v>
      </c>
      <c r="G26" s="3"/>
    </row>
    <row r="27" spans="2:7">
      <c r="B27" s="6">
        <v>45443</v>
      </c>
      <c r="C27" s="7" t="s">
        <v>11</v>
      </c>
      <c r="D27" s="8">
        <v>136</v>
      </c>
      <c r="E27" s="8">
        <v>645</v>
      </c>
      <c r="F27" s="8">
        <v>87720</v>
      </c>
      <c r="G27" s="3"/>
    </row>
    <row r="28" spans="2:7">
      <c r="B28" s="6">
        <v>45443</v>
      </c>
      <c r="C28" s="7" t="s">
        <v>12</v>
      </c>
      <c r="D28" s="8">
        <v>476</v>
      </c>
      <c r="E28" s="8">
        <v>3302</v>
      </c>
      <c r="F28" s="8">
        <v>1571752</v>
      </c>
      <c r="G28" s="3"/>
    </row>
    <row r="29" spans="2:7">
      <c r="B29" s="6">
        <v>45443</v>
      </c>
      <c r="C29" s="7" t="s">
        <v>13</v>
      </c>
      <c r="D29" s="8">
        <v>1358</v>
      </c>
      <c r="E29" s="8">
        <v>123</v>
      </c>
      <c r="F29" s="8">
        <v>167034</v>
      </c>
      <c r="G29" s="3"/>
    </row>
    <row r="30" spans="2:7">
      <c r="B30" s="6">
        <v>45473</v>
      </c>
      <c r="C30" s="7" t="s">
        <v>9</v>
      </c>
      <c r="D30" s="8">
        <v>770</v>
      </c>
      <c r="E30" s="8">
        <v>963</v>
      </c>
      <c r="F30" s="8">
        <v>741510</v>
      </c>
      <c r="G30" s="3"/>
    </row>
    <row r="31" spans="2:7">
      <c r="B31" s="6">
        <v>45473</v>
      </c>
      <c r="C31" s="7" t="s">
        <v>10</v>
      </c>
      <c r="D31" s="8">
        <v>700</v>
      </c>
      <c r="E31" s="8">
        <v>2416</v>
      </c>
      <c r="F31" s="8">
        <v>1691200</v>
      </c>
      <c r="G31" s="3"/>
    </row>
    <row r="32" spans="2:7">
      <c r="B32" s="6">
        <v>45473</v>
      </c>
      <c r="C32" s="7" t="s">
        <v>11</v>
      </c>
      <c r="D32" s="8">
        <v>140</v>
      </c>
      <c r="E32" s="8">
        <v>697</v>
      </c>
      <c r="F32" s="8">
        <v>97580</v>
      </c>
      <c r="G32" s="3"/>
    </row>
    <row r="33" spans="2:7">
      <c r="B33" s="6">
        <v>45473</v>
      </c>
      <c r="C33" s="7" t="s">
        <v>12</v>
      </c>
      <c r="D33" s="8">
        <v>490</v>
      </c>
      <c r="E33" s="8">
        <v>3354</v>
      </c>
      <c r="F33" s="8">
        <v>1643460</v>
      </c>
      <c r="G33" s="3"/>
    </row>
    <row r="34" spans="2:7">
      <c r="B34" s="6">
        <v>45473</v>
      </c>
      <c r="C34" s="7" t="s">
        <v>13</v>
      </c>
      <c r="D34" s="8">
        <v>1399</v>
      </c>
      <c r="E34" s="8">
        <v>105</v>
      </c>
      <c r="F34" s="8">
        <v>146895</v>
      </c>
      <c r="G34" s="3"/>
    </row>
    <row r="35" spans="2:7">
      <c r="B35" s="6">
        <v>45504</v>
      </c>
      <c r="C35" s="7" t="s">
        <v>9</v>
      </c>
      <c r="D35" s="8">
        <v>845</v>
      </c>
      <c r="E35" s="8">
        <v>912</v>
      </c>
      <c r="F35" s="8">
        <v>770640</v>
      </c>
      <c r="G35" s="3"/>
    </row>
    <row r="36" spans="2:7">
      <c r="B36" s="6">
        <v>45504</v>
      </c>
      <c r="C36" s="7" t="s">
        <v>10</v>
      </c>
      <c r="D36" s="8">
        <v>735</v>
      </c>
      <c r="E36" s="8">
        <v>2427</v>
      </c>
      <c r="F36" s="8">
        <v>1783845</v>
      </c>
      <c r="G36" s="3"/>
    </row>
    <row r="37" spans="2:7">
      <c r="B37" s="6">
        <v>45504</v>
      </c>
      <c r="C37" s="7" t="s">
        <v>11</v>
      </c>
      <c r="D37" s="8">
        <v>147</v>
      </c>
      <c r="E37" s="8">
        <v>645</v>
      </c>
      <c r="F37" s="8">
        <v>94815</v>
      </c>
      <c r="G37" s="3"/>
    </row>
    <row r="38" spans="2:7">
      <c r="B38" s="6">
        <v>45504</v>
      </c>
      <c r="C38" s="7" t="s">
        <v>12</v>
      </c>
      <c r="D38" s="8">
        <v>478</v>
      </c>
      <c r="E38" s="8">
        <v>3374</v>
      </c>
      <c r="F38" s="8">
        <v>1612772</v>
      </c>
      <c r="G38" s="3"/>
    </row>
    <row r="39" spans="2:7">
      <c r="B39" s="6">
        <v>45504</v>
      </c>
      <c r="C39" s="7" t="s">
        <v>13</v>
      </c>
      <c r="D39" s="8">
        <v>1470</v>
      </c>
      <c r="E39" s="8">
        <v>105</v>
      </c>
      <c r="F39" s="8">
        <v>154350</v>
      </c>
      <c r="G39" s="3"/>
    </row>
    <row r="40" spans="2:7">
      <c r="B40" s="6">
        <v>45535</v>
      </c>
      <c r="C40" s="7" t="s">
        <v>9</v>
      </c>
      <c r="D40" s="8">
        <v>900</v>
      </c>
      <c r="E40" s="8">
        <v>910</v>
      </c>
      <c r="F40" s="8">
        <v>819000</v>
      </c>
      <c r="G40" s="3"/>
    </row>
    <row r="41" spans="2:7">
      <c r="B41" s="6">
        <v>45535</v>
      </c>
      <c r="C41" s="7" t="s">
        <v>10</v>
      </c>
      <c r="D41" s="8">
        <v>750</v>
      </c>
      <c r="E41" s="8">
        <v>2483</v>
      </c>
      <c r="F41" s="8">
        <v>1862250</v>
      </c>
      <c r="G41" s="3"/>
    </row>
    <row r="42" spans="2:7">
      <c r="B42" s="6">
        <v>45535</v>
      </c>
      <c r="C42" s="7" t="s">
        <v>11</v>
      </c>
      <c r="D42" s="8">
        <v>188</v>
      </c>
      <c r="E42" s="8">
        <v>637</v>
      </c>
      <c r="F42" s="8">
        <v>119756</v>
      </c>
      <c r="G42" s="3"/>
    </row>
    <row r="43" spans="2:7">
      <c r="B43" s="6">
        <v>45535</v>
      </c>
      <c r="C43" s="7" t="s">
        <v>12</v>
      </c>
      <c r="D43" s="8">
        <v>488</v>
      </c>
      <c r="E43" s="8">
        <v>3047</v>
      </c>
      <c r="F43" s="8">
        <v>1486936</v>
      </c>
      <c r="G43" s="3"/>
    </row>
    <row r="44" spans="2:7">
      <c r="B44" s="6">
        <v>45535</v>
      </c>
      <c r="C44" s="7" t="s">
        <v>13</v>
      </c>
      <c r="D44" s="8">
        <v>1425</v>
      </c>
      <c r="E44" s="8">
        <v>109</v>
      </c>
      <c r="F44" s="8">
        <v>155325</v>
      </c>
      <c r="G44" s="3"/>
    </row>
    <row r="45" spans="2:7">
      <c r="B45" s="6">
        <v>45565</v>
      </c>
      <c r="C45" s="7" t="s">
        <v>9</v>
      </c>
      <c r="D45" s="8">
        <v>819</v>
      </c>
      <c r="E45" s="8">
        <v>923</v>
      </c>
      <c r="F45" s="8">
        <v>755937</v>
      </c>
      <c r="G45" s="3"/>
    </row>
    <row r="46" spans="2:7">
      <c r="B46" s="6">
        <v>45565</v>
      </c>
      <c r="C46" s="7" t="s">
        <v>10</v>
      </c>
      <c r="D46" s="8">
        <v>858</v>
      </c>
      <c r="E46" s="8">
        <v>2206</v>
      </c>
      <c r="F46" s="8">
        <v>1892748</v>
      </c>
      <c r="G46" s="3"/>
    </row>
    <row r="47" spans="2:7">
      <c r="B47" s="6">
        <v>45565</v>
      </c>
      <c r="C47" s="7" t="s">
        <v>11</v>
      </c>
      <c r="D47" s="8">
        <v>195</v>
      </c>
      <c r="E47" s="8">
        <v>541</v>
      </c>
      <c r="F47" s="8">
        <v>105495</v>
      </c>
      <c r="G47" s="3"/>
    </row>
    <row r="48" spans="2:7">
      <c r="B48" s="6">
        <v>45565</v>
      </c>
      <c r="C48" s="7" t="s">
        <v>12</v>
      </c>
      <c r="D48" s="8">
        <v>546</v>
      </c>
      <c r="E48" s="8">
        <v>3337</v>
      </c>
      <c r="F48" s="8">
        <v>1822002</v>
      </c>
      <c r="G48" s="3"/>
    </row>
    <row r="49" spans="2:7">
      <c r="B49" s="6">
        <v>45565</v>
      </c>
      <c r="C49" s="7" t="s">
        <v>13</v>
      </c>
      <c r="D49" s="8">
        <v>1482</v>
      </c>
      <c r="E49" s="8">
        <v>130</v>
      </c>
      <c r="F49" s="8">
        <v>192660</v>
      </c>
      <c r="G49" s="3"/>
    </row>
    <row r="50" spans="2:7">
      <c r="B50" s="6">
        <v>45596</v>
      </c>
      <c r="C50" s="7" t="s">
        <v>9</v>
      </c>
      <c r="D50" s="8">
        <v>844</v>
      </c>
      <c r="E50" s="8">
        <v>995</v>
      </c>
      <c r="F50" s="8">
        <v>839780</v>
      </c>
      <c r="G50" s="3"/>
    </row>
    <row r="51" spans="2:7">
      <c r="B51" s="6">
        <v>45596</v>
      </c>
      <c r="C51" s="7" t="s">
        <v>10</v>
      </c>
      <c r="D51" s="8">
        <v>884</v>
      </c>
      <c r="E51" s="8">
        <v>2411</v>
      </c>
      <c r="F51" s="8">
        <v>2131324</v>
      </c>
      <c r="G51" s="3"/>
    </row>
    <row r="52" spans="2:7">
      <c r="B52" s="6">
        <v>45596</v>
      </c>
      <c r="C52" s="7" t="s">
        <v>11</v>
      </c>
      <c r="D52" s="8">
        <v>201</v>
      </c>
      <c r="E52" s="8">
        <v>608</v>
      </c>
      <c r="F52" s="8">
        <v>122208</v>
      </c>
      <c r="G52" s="3"/>
    </row>
    <row r="53" spans="2:7">
      <c r="B53" s="6">
        <v>45596</v>
      </c>
      <c r="C53" s="7" t="s">
        <v>12</v>
      </c>
      <c r="D53" s="8">
        <v>603</v>
      </c>
      <c r="E53" s="8">
        <v>3043</v>
      </c>
      <c r="F53" s="8">
        <v>1834929</v>
      </c>
      <c r="G53" s="3"/>
    </row>
    <row r="54" spans="2:7">
      <c r="B54" s="6">
        <v>45596</v>
      </c>
      <c r="C54" s="7" t="s">
        <v>13</v>
      </c>
      <c r="D54" s="8">
        <v>1486</v>
      </c>
      <c r="E54" s="8">
        <v>101</v>
      </c>
      <c r="F54" s="8">
        <v>150086</v>
      </c>
      <c r="G54" s="3"/>
    </row>
    <row r="55" spans="2:7">
      <c r="B55" s="6">
        <v>45626</v>
      </c>
      <c r="C55" s="7" t="s">
        <v>9</v>
      </c>
      <c r="D55" s="8">
        <v>1045</v>
      </c>
      <c r="E55" s="8">
        <v>983</v>
      </c>
      <c r="F55" s="8">
        <v>1027235</v>
      </c>
      <c r="G55" s="3"/>
    </row>
    <row r="56" spans="2:7">
      <c r="B56" s="6">
        <v>45626</v>
      </c>
      <c r="C56" s="7" t="s">
        <v>10</v>
      </c>
      <c r="D56" s="8">
        <v>878</v>
      </c>
      <c r="E56" s="8">
        <v>2345</v>
      </c>
      <c r="F56" s="8">
        <v>2058910</v>
      </c>
      <c r="G56" s="3"/>
    </row>
    <row r="57" spans="2:7">
      <c r="B57" s="6">
        <v>45626</v>
      </c>
      <c r="C57" s="7" t="s">
        <v>11</v>
      </c>
      <c r="D57" s="8">
        <v>251</v>
      </c>
      <c r="E57" s="8">
        <v>663</v>
      </c>
      <c r="F57" s="8">
        <v>166413</v>
      </c>
      <c r="G57" s="3"/>
    </row>
    <row r="58" spans="2:7">
      <c r="B58" s="6">
        <v>45626</v>
      </c>
      <c r="C58" s="7" t="s">
        <v>12</v>
      </c>
      <c r="D58" s="8">
        <v>544</v>
      </c>
      <c r="E58" s="8">
        <v>3381</v>
      </c>
      <c r="F58" s="8">
        <v>1839264</v>
      </c>
      <c r="G58" s="3"/>
    </row>
    <row r="59" spans="2:7">
      <c r="B59" s="6">
        <v>45626</v>
      </c>
      <c r="C59" s="7" t="s">
        <v>13</v>
      </c>
      <c r="D59" s="8">
        <v>1463</v>
      </c>
      <c r="E59" s="8">
        <v>140</v>
      </c>
      <c r="F59" s="8">
        <v>204820</v>
      </c>
      <c r="G59" s="3"/>
    </row>
    <row r="60" spans="2:7">
      <c r="B60" s="6">
        <v>45657</v>
      </c>
      <c r="C60" s="7" t="s">
        <v>9</v>
      </c>
      <c r="D60" s="8">
        <v>1087</v>
      </c>
      <c r="E60" s="8">
        <v>993</v>
      </c>
      <c r="F60" s="8">
        <v>1079391</v>
      </c>
      <c r="G60" s="3"/>
    </row>
    <row r="61" spans="2:7">
      <c r="B61" s="6">
        <v>45657</v>
      </c>
      <c r="C61" s="7" t="s">
        <v>10</v>
      </c>
      <c r="D61" s="8">
        <v>957</v>
      </c>
      <c r="E61" s="8">
        <v>2406</v>
      </c>
      <c r="F61" s="8">
        <v>2302542</v>
      </c>
      <c r="G61" s="3"/>
    </row>
    <row r="62" spans="2:7">
      <c r="B62" s="6">
        <v>45657</v>
      </c>
      <c r="C62" s="7" t="s">
        <v>11</v>
      </c>
      <c r="D62" s="8">
        <v>261</v>
      </c>
      <c r="E62" s="8">
        <v>613</v>
      </c>
      <c r="F62" s="8">
        <v>159993</v>
      </c>
      <c r="G62" s="3"/>
    </row>
    <row r="63" spans="2:7">
      <c r="B63" s="6">
        <v>45657</v>
      </c>
      <c r="C63" s="7" t="s">
        <v>12</v>
      </c>
      <c r="D63" s="8">
        <v>522</v>
      </c>
      <c r="E63" s="8">
        <v>3341</v>
      </c>
      <c r="F63" s="8">
        <v>1744002</v>
      </c>
      <c r="G63" s="3"/>
    </row>
    <row r="64" spans="2:7">
      <c r="B64" s="6">
        <v>45657</v>
      </c>
      <c r="C64" s="7" t="s">
        <v>13</v>
      </c>
      <c r="D64" s="8">
        <v>1522</v>
      </c>
      <c r="E64" s="8">
        <v>138</v>
      </c>
      <c r="F64" s="8">
        <v>210036</v>
      </c>
      <c r="G64" s="3"/>
    </row>
    <row r="65" spans="2:7">
      <c r="B65" s="6">
        <v>45688</v>
      </c>
      <c r="C65" s="7" t="s">
        <v>9</v>
      </c>
      <c r="D65" s="8">
        <v>1076</v>
      </c>
      <c r="E65" s="8">
        <v>987</v>
      </c>
      <c r="F65" s="8">
        <v>1062012</v>
      </c>
      <c r="G65" s="3"/>
    </row>
    <row r="66" spans="2:7">
      <c r="B66" s="6">
        <v>45688</v>
      </c>
      <c r="C66" s="7" t="s">
        <v>10</v>
      </c>
      <c r="D66" s="8">
        <v>1031</v>
      </c>
      <c r="E66" s="8">
        <v>2033</v>
      </c>
      <c r="F66" s="8">
        <v>2096023</v>
      </c>
      <c r="G66" s="3"/>
    </row>
    <row r="67" spans="2:7">
      <c r="B67" s="6">
        <v>45688</v>
      </c>
      <c r="C67" s="7" t="s">
        <v>11</v>
      </c>
      <c r="D67" s="8">
        <v>269</v>
      </c>
      <c r="E67" s="8">
        <v>503</v>
      </c>
      <c r="F67" s="8">
        <v>135307</v>
      </c>
      <c r="G67" s="3"/>
    </row>
    <row r="68" spans="2:7">
      <c r="B68" s="6">
        <v>45688</v>
      </c>
      <c r="C68" s="7" t="s">
        <v>12</v>
      </c>
      <c r="D68" s="8">
        <v>538</v>
      </c>
      <c r="E68" s="8">
        <v>3128</v>
      </c>
      <c r="F68" s="8">
        <v>1682864</v>
      </c>
      <c r="G68" s="3"/>
    </row>
    <row r="69" spans="2:7">
      <c r="B69" s="6">
        <v>45688</v>
      </c>
      <c r="C69" s="7" t="s">
        <v>13</v>
      </c>
      <c r="D69" s="8">
        <v>1569</v>
      </c>
      <c r="E69" s="8">
        <v>137</v>
      </c>
      <c r="F69" s="8">
        <v>214953</v>
      </c>
      <c r="G69" s="3"/>
    </row>
    <row r="70" spans="2:7">
      <c r="B70" s="6">
        <v>45716</v>
      </c>
      <c r="C70" s="7" t="s">
        <v>9</v>
      </c>
      <c r="D70" s="8">
        <v>1177</v>
      </c>
      <c r="E70" s="8">
        <v>903</v>
      </c>
      <c r="F70" s="8">
        <v>1062831</v>
      </c>
      <c r="G70" s="3"/>
    </row>
    <row r="71" spans="2:7">
      <c r="B71" s="6">
        <v>45716</v>
      </c>
      <c r="C71" s="7" t="s">
        <v>10</v>
      </c>
      <c r="D71" s="8">
        <v>1130</v>
      </c>
      <c r="E71" s="8">
        <v>2370</v>
      </c>
      <c r="F71" s="8">
        <v>2678100</v>
      </c>
      <c r="G71" s="3"/>
    </row>
    <row r="72" spans="2:7">
      <c r="B72" s="6">
        <v>45716</v>
      </c>
      <c r="C72" s="7" t="s">
        <v>11</v>
      </c>
      <c r="D72" s="8">
        <v>283</v>
      </c>
      <c r="E72" s="8">
        <v>649</v>
      </c>
      <c r="F72" s="8">
        <v>183667</v>
      </c>
      <c r="G72" s="3"/>
    </row>
    <row r="73" spans="2:7">
      <c r="B73" s="6">
        <v>45716</v>
      </c>
      <c r="C73" s="7" t="s">
        <v>12</v>
      </c>
      <c r="D73" s="8">
        <v>565</v>
      </c>
      <c r="E73" s="8">
        <v>3341</v>
      </c>
      <c r="F73" s="8">
        <v>1887665</v>
      </c>
      <c r="G73" s="3"/>
    </row>
    <row r="74" spans="2:7">
      <c r="B74" s="6">
        <v>45716</v>
      </c>
      <c r="C74" s="7" t="s">
        <v>13</v>
      </c>
      <c r="D74" s="8">
        <v>1554</v>
      </c>
      <c r="E74" s="8">
        <v>117</v>
      </c>
      <c r="F74" s="8">
        <v>181818</v>
      </c>
      <c r="G74" s="3"/>
    </row>
    <row r="75" spans="2:7">
      <c r="B75" s="6">
        <v>45747</v>
      </c>
      <c r="C75" s="7" t="s">
        <v>9</v>
      </c>
      <c r="D75" s="8">
        <v>1261</v>
      </c>
      <c r="E75" s="8">
        <v>918</v>
      </c>
      <c r="F75" s="8">
        <v>1157598</v>
      </c>
      <c r="G75" s="3"/>
    </row>
    <row r="76" spans="2:7">
      <c r="B76" s="6">
        <v>45747</v>
      </c>
      <c r="C76" s="7" t="s">
        <v>10</v>
      </c>
      <c r="D76" s="8">
        <v>1213</v>
      </c>
      <c r="E76" s="8">
        <v>2171</v>
      </c>
      <c r="F76" s="8">
        <v>2633423</v>
      </c>
      <c r="G76" s="3"/>
    </row>
    <row r="77" spans="2:7">
      <c r="B77" s="6">
        <v>45747</v>
      </c>
      <c r="C77" s="7" t="s">
        <v>11</v>
      </c>
      <c r="D77" s="8">
        <v>243</v>
      </c>
      <c r="E77" s="8">
        <v>536</v>
      </c>
      <c r="F77" s="8">
        <v>130248</v>
      </c>
      <c r="G77" s="3"/>
    </row>
    <row r="78" spans="2:7">
      <c r="B78" s="6">
        <v>45747</v>
      </c>
      <c r="C78" s="7" t="s">
        <v>12</v>
      </c>
      <c r="D78" s="8">
        <v>534</v>
      </c>
      <c r="E78" s="8">
        <v>3236</v>
      </c>
      <c r="F78" s="8">
        <v>1728024</v>
      </c>
      <c r="G78" s="3"/>
    </row>
    <row r="79" spans="2:7">
      <c r="B79" s="6">
        <v>45747</v>
      </c>
      <c r="C79" s="7" t="s">
        <v>13</v>
      </c>
      <c r="D79" s="8">
        <v>1601</v>
      </c>
      <c r="E79" s="8">
        <v>110</v>
      </c>
      <c r="F79" s="8">
        <v>176110</v>
      </c>
      <c r="G79" s="3"/>
    </row>
    <row r="80" spans="2:7">
      <c r="B80" s="6">
        <v>45777</v>
      </c>
      <c r="C80" s="7" t="s">
        <v>9</v>
      </c>
      <c r="D80" s="8">
        <v>1323</v>
      </c>
      <c r="E80" s="8">
        <v>941</v>
      </c>
      <c r="F80" s="8">
        <v>1244943</v>
      </c>
      <c r="G80" s="3"/>
    </row>
    <row r="81" spans="2:7">
      <c r="B81" s="6">
        <v>45777</v>
      </c>
      <c r="C81" s="7" t="s">
        <v>10</v>
      </c>
      <c r="D81" s="8">
        <v>1225</v>
      </c>
      <c r="E81" s="8">
        <v>2406</v>
      </c>
      <c r="F81" s="8">
        <v>2947350</v>
      </c>
      <c r="G81" s="3"/>
    </row>
    <row r="82" spans="2:7">
      <c r="B82" s="6">
        <v>45777</v>
      </c>
      <c r="C82" s="7" t="s">
        <v>11</v>
      </c>
      <c r="D82" s="8">
        <v>245</v>
      </c>
      <c r="E82" s="8">
        <v>687</v>
      </c>
      <c r="F82" s="8">
        <v>168315</v>
      </c>
      <c r="G82" s="3"/>
    </row>
    <row r="83" spans="2:7">
      <c r="B83" s="6">
        <v>45777</v>
      </c>
      <c r="C83" s="7" t="s">
        <v>12</v>
      </c>
      <c r="D83" s="8">
        <v>539</v>
      </c>
      <c r="E83" s="8">
        <v>3251</v>
      </c>
      <c r="F83" s="8">
        <v>1752289</v>
      </c>
      <c r="G83" s="3"/>
    </row>
    <row r="84" spans="2:7">
      <c r="B84" s="6">
        <v>45777</v>
      </c>
      <c r="C84" s="7" t="s">
        <v>13</v>
      </c>
      <c r="D84" s="8">
        <v>1568</v>
      </c>
      <c r="E84" s="8">
        <v>125</v>
      </c>
      <c r="F84" s="8">
        <v>196000</v>
      </c>
      <c r="G84" s="3"/>
    </row>
    <row r="85" spans="2:7">
      <c r="B85" s="6">
        <v>45808</v>
      </c>
      <c r="C85" s="7" t="s">
        <v>9</v>
      </c>
      <c r="D85" s="8">
        <v>1339</v>
      </c>
      <c r="E85" s="8">
        <v>923</v>
      </c>
      <c r="F85" s="8">
        <v>1235897</v>
      </c>
      <c r="G85" s="3"/>
    </row>
    <row r="86" spans="2:7">
      <c r="B86" s="6">
        <v>45808</v>
      </c>
      <c r="C86" s="7" t="s">
        <v>10</v>
      </c>
      <c r="D86" s="8">
        <v>1339</v>
      </c>
      <c r="E86" s="8">
        <v>2068</v>
      </c>
      <c r="F86" s="8">
        <v>2769052</v>
      </c>
      <c r="G86" s="3"/>
    </row>
    <row r="87" spans="2:7">
      <c r="B87" s="6">
        <v>45808</v>
      </c>
      <c r="C87" s="7" t="s">
        <v>11</v>
      </c>
      <c r="D87" s="8">
        <v>309</v>
      </c>
      <c r="E87" s="8">
        <v>502</v>
      </c>
      <c r="F87" s="8">
        <v>155118</v>
      </c>
      <c r="G87" s="3"/>
    </row>
    <row r="88" spans="2:7">
      <c r="B88" s="6">
        <v>45808</v>
      </c>
      <c r="C88" s="7" t="s">
        <v>12</v>
      </c>
      <c r="D88" s="8">
        <v>515</v>
      </c>
      <c r="E88" s="8">
        <v>3036</v>
      </c>
      <c r="F88" s="8">
        <v>1563540</v>
      </c>
      <c r="G88" s="3"/>
    </row>
    <row r="89" spans="2:7">
      <c r="B89" s="6">
        <v>45808</v>
      </c>
      <c r="C89" s="7" t="s">
        <v>13</v>
      </c>
      <c r="D89" s="8">
        <v>1648</v>
      </c>
      <c r="E89" s="8">
        <v>137</v>
      </c>
      <c r="F89" s="8">
        <v>225776</v>
      </c>
      <c r="G89" s="3"/>
    </row>
    <row r="90" spans="2:7">
      <c r="B90" s="6">
        <v>45838</v>
      </c>
      <c r="C90" s="7" t="s">
        <v>9</v>
      </c>
      <c r="D90" s="8">
        <v>1407</v>
      </c>
      <c r="E90" s="8">
        <v>948</v>
      </c>
      <c r="F90" s="8">
        <v>1333836</v>
      </c>
      <c r="G90" s="3"/>
    </row>
    <row r="91" spans="2:7">
      <c r="B91" s="6">
        <v>45838</v>
      </c>
      <c r="C91" s="7" t="s">
        <v>10</v>
      </c>
      <c r="D91" s="8">
        <v>1407</v>
      </c>
      <c r="E91" s="8">
        <v>2186</v>
      </c>
      <c r="F91" s="8">
        <v>3075702</v>
      </c>
      <c r="G91" s="3"/>
    </row>
    <row r="92" spans="2:7">
      <c r="B92" s="6">
        <v>45838</v>
      </c>
      <c r="C92" s="7" t="s">
        <v>11</v>
      </c>
      <c r="D92" s="8">
        <v>379</v>
      </c>
      <c r="E92" s="8">
        <v>531</v>
      </c>
      <c r="F92" s="8">
        <v>201249</v>
      </c>
      <c r="G92" s="3"/>
    </row>
    <row r="93" spans="2:7">
      <c r="B93" s="6">
        <v>45838</v>
      </c>
      <c r="C93" s="7" t="s">
        <v>12</v>
      </c>
      <c r="D93" s="8">
        <v>541</v>
      </c>
      <c r="E93" s="8">
        <v>3477</v>
      </c>
      <c r="F93" s="8">
        <v>1881057</v>
      </c>
      <c r="G93" s="3"/>
    </row>
    <row r="94" spans="2:7">
      <c r="B94" s="6">
        <v>45838</v>
      </c>
      <c r="C94" s="7" t="s">
        <v>13</v>
      </c>
      <c r="D94" s="8">
        <v>1677</v>
      </c>
      <c r="E94" s="8">
        <v>100</v>
      </c>
      <c r="F94" s="8">
        <v>167700</v>
      </c>
      <c r="G94" s="3"/>
    </row>
    <row r="95" spans="2:7">
      <c r="B95" s="6">
        <v>45869</v>
      </c>
      <c r="C95" s="7" t="s">
        <v>9</v>
      </c>
      <c r="D95" s="8">
        <v>1449</v>
      </c>
      <c r="E95" s="8">
        <v>973</v>
      </c>
      <c r="F95" s="8">
        <v>1409877</v>
      </c>
      <c r="G95" s="3"/>
    </row>
    <row r="96" spans="2:7">
      <c r="B96" s="6">
        <v>45869</v>
      </c>
      <c r="C96" s="7" t="s">
        <v>10</v>
      </c>
      <c r="D96" s="8">
        <v>1505</v>
      </c>
      <c r="E96" s="8">
        <v>2404</v>
      </c>
      <c r="F96" s="8">
        <v>3618020</v>
      </c>
      <c r="G96" s="3"/>
    </row>
    <row r="97" spans="2:7">
      <c r="B97" s="6">
        <v>45869</v>
      </c>
      <c r="C97" s="7" t="s">
        <v>11</v>
      </c>
      <c r="D97" s="8">
        <v>390</v>
      </c>
      <c r="E97" s="8">
        <v>619</v>
      </c>
      <c r="F97" s="8">
        <v>241410</v>
      </c>
      <c r="G97" s="3"/>
    </row>
    <row r="98" spans="2:7">
      <c r="B98" s="6">
        <v>45869</v>
      </c>
      <c r="C98" s="7" t="s">
        <v>12</v>
      </c>
      <c r="D98" s="8">
        <v>558</v>
      </c>
      <c r="E98" s="8">
        <v>3410</v>
      </c>
      <c r="F98" s="8">
        <v>1902780</v>
      </c>
      <c r="G98" s="3"/>
    </row>
    <row r="99" spans="2:7">
      <c r="B99" s="6">
        <v>45869</v>
      </c>
      <c r="C99" s="7" t="s">
        <v>13</v>
      </c>
      <c r="D99" s="8">
        <v>1672</v>
      </c>
      <c r="E99" s="8">
        <v>147</v>
      </c>
      <c r="F99" s="8">
        <v>245784</v>
      </c>
      <c r="G99" s="3"/>
    </row>
    <row r="100" spans="2:7">
      <c r="B100" s="6">
        <v>45900</v>
      </c>
      <c r="C100" s="7" t="s">
        <v>9</v>
      </c>
      <c r="D100" s="8">
        <v>1478</v>
      </c>
      <c r="E100" s="8">
        <v>937</v>
      </c>
      <c r="F100" s="8">
        <v>1384886</v>
      </c>
      <c r="G100" s="3"/>
    </row>
    <row r="101" spans="2:7">
      <c r="B101" s="6">
        <v>45900</v>
      </c>
      <c r="C101" s="7" t="s">
        <v>10</v>
      </c>
      <c r="D101" s="8">
        <v>1535</v>
      </c>
      <c r="E101" s="8">
        <v>2271</v>
      </c>
      <c r="F101" s="8">
        <v>3485985</v>
      </c>
      <c r="G101" s="3"/>
    </row>
    <row r="102" spans="2:7">
      <c r="B102" s="6">
        <v>45900</v>
      </c>
      <c r="C102" s="7" t="s">
        <v>11</v>
      </c>
      <c r="D102" s="8">
        <v>398</v>
      </c>
      <c r="E102" s="8">
        <v>553</v>
      </c>
      <c r="F102" s="8">
        <v>220094</v>
      </c>
      <c r="G102" s="3"/>
    </row>
    <row r="103" spans="2:7">
      <c r="B103" s="6">
        <v>45900</v>
      </c>
      <c r="C103" s="7" t="s">
        <v>12</v>
      </c>
      <c r="D103" s="8">
        <v>569</v>
      </c>
      <c r="E103" s="8">
        <v>3045</v>
      </c>
      <c r="F103" s="8">
        <v>1732605</v>
      </c>
      <c r="G103" s="3"/>
    </row>
    <row r="104" spans="2:7">
      <c r="B104" s="6">
        <v>45900</v>
      </c>
      <c r="C104" s="7" t="s">
        <v>13</v>
      </c>
      <c r="D104" s="8">
        <v>1706</v>
      </c>
      <c r="E104" s="8">
        <v>138</v>
      </c>
      <c r="F104" s="8">
        <v>235428</v>
      </c>
      <c r="G104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1143C-FDB8-4FD3-8CDF-CE3A0E6756AB}">
  <dimension ref="A1:F24"/>
  <sheetViews>
    <sheetView showGridLines="0" workbookViewId="0">
      <selection activeCell="K17" sqref="K17"/>
    </sheetView>
  </sheetViews>
  <sheetFormatPr defaultRowHeight="14.5"/>
  <cols>
    <col min="1" max="1" width="1.7265625" customWidth="1"/>
    <col min="2" max="2" width="15.7265625" customWidth="1"/>
    <col min="3" max="3" width="16.54296875" bestFit="1" customWidth="1"/>
    <col min="4" max="6" width="15.7265625" customWidth="1"/>
  </cols>
  <sheetData>
    <row r="1" spans="1:6" s="53" customFormat="1" ht="26">
      <c r="A1" s="39" t="s">
        <v>6</v>
      </c>
    </row>
    <row r="2" spans="1:6">
      <c r="B2" s="1" t="s">
        <v>0</v>
      </c>
    </row>
    <row r="3" spans="1:6" ht="5.15" customHeight="1"/>
    <row r="4" spans="1:6">
      <c r="B4" s="5" t="s">
        <v>1</v>
      </c>
      <c r="C4" s="5" t="s">
        <v>7</v>
      </c>
      <c r="D4" s="5" t="s">
        <v>8</v>
      </c>
      <c r="E4" s="5" t="s">
        <v>14</v>
      </c>
      <c r="F4" s="2"/>
    </row>
    <row r="5" spans="1:6">
      <c r="B5" s="6">
        <v>45322</v>
      </c>
      <c r="C5" s="8">
        <v>1080</v>
      </c>
      <c r="D5" s="8">
        <v>2484</v>
      </c>
      <c r="E5" s="8">
        <f>D5*1.2</f>
        <v>2980.7999999999997</v>
      </c>
    </row>
    <row r="6" spans="1:6">
      <c r="B6" s="6">
        <f>EOMONTH(B5,1)</f>
        <v>45351</v>
      </c>
      <c r="C6" s="8">
        <v>1124</v>
      </c>
      <c r="D6" s="8">
        <v>2559.3479999999995</v>
      </c>
      <c r="E6" s="8">
        <f t="shared" ref="E6:E24" si="0">D6*1.2</f>
        <v>3071.2175999999995</v>
      </c>
    </row>
    <row r="7" spans="1:6">
      <c r="B7" s="6">
        <f t="shared" ref="B7:B24" si="1">EOMONTH(B6,1)</f>
        <v>45382</v>
      </c>
      <c r="C7" s="8">
        <v>1169</v>
      </c>
      <c r="D7" s="8">
        <v>2635.1948699999998</v>
      </c>
      <c r="E7" s="8">
        <f t="shared" si="0"/>
        <v>3162.2338439999999</v>
      </c>
    </row>
    <row r="8" spans="1:6">
      <c r="B8" s="6">
        <f t="shared" si="1"/>
        <v>45412</v>
      </c>
      <c r="C8" s="8">
        <v>1205</v>
      </c>
      <c r="D8" s="8">
        <v>2716.3471499999996</v>
      </c>
      <c r="E8" s="8">
        <f t="shared" si="0"/>
        <v>3259.6165799999994</v>
      </c>
    </row>
    <row r="9" spans="1:6">
      <c r="B9" s="6">
        <f t="shared" si="1"/>
        <v>45443</v>
      </c>
      <c r="C9" s="8">
        <v>1242</v>
      </c>
      <c r="D9" s="8">
        <v>2827.7511965999997</v>
      </c>
      <c r="E9" s="8">
        <f t="shared" si="0"/>
        <v>3393.3014359199997</v>
      </c>
    </row>
    <row r="10" spans="1:6">
      <c r="B10" s="6">
        <f t="shared" si="1"/>
        <v>45473</v>
      </c>
      <c r="C10" s="8">
        <v>1267</v>
      </c>
      <c r="D10" s="8">
        <v>2913.517209141</v>
      </c>
      <c r="E10" s="8">
        <f t="shared" si="0"/>
        <v>3496.2206509692001</v>
      </c>
    </row>
    <row r="11" spans="1:6">
      <c r="B11" s="6">
        <f t="shared" si="1"/>
        <v>45504</v>
      </c>
      <c r="C11" s="8">
        <v>1318</v>
      </c>
      <c r="D11" s="8">
        <v>3061.1016878171404</v>
      </c>
      <c r="E11" s="8">
        <f t="shared" si="0"/>
        <v>3673.3220253805684</v>
      </c>
    </row>
    <row r="12" spans="1:6">
      <c r="B12" s="6">
        <f t="shared" si="1"/>
        <v>45535</v>
      </c>
      <c r="C12" s="8">
        <v>1345</v>
      </c>
      <c r="D12" s="8">
        <v>3123.8101442443503</v>
      </c>
      <c r="E12" s="8">
        <f t="shared" si="0"/>
        <v>3748.57217309322</v>
      </c>
    </row>
    <row r="13" spans="1:6">
      <c r="B13" s="6">
        <f t="shared" si="1"/>
        <v>45565</v>
      </c>
      <c r="C13" s="8">
        <v>1399</v>
      </c>
      <c r="D13" s="8">
        <v>3249.2270570987703</v>
      </c>
      <c r="E13" s="8">
        <f t="shared" si="0"/>
        <v>3899.0724685185241</v>
      </c>
    </row>
    <row r="14" spans="1:6">
      <c r="B14" s="6">
        <f t="shared" si="1"/>
        <v>45596</v>
      </c>
      <c r="C14" s="8">
        <v>1455</v>
      </c>
      <c r="D14" s="8">
        <v>3345.4961503916538</v>
      </c>
      <c r="E14" s="8">
        <f t="shared" si="0"/>
        <v>4014.5953804699843</v>
      </c>
    </row>
    <row r="15" spans="1:6">
      <c r="B15" s="6">
        <f t="shared" si="1"/>
        <v>45626</v>
      </c>
      <c r="C15" s="8">
        <v>1514</v>
      </c>
      <c r="D15" s="8">
        <v>3481.1554444625181</v>
      </c>
      <c r="E15" s="8">
        <f t="shared" si="0"/>
        <v>4177.3865333550211</v>
      </c>
    </row>
    <row r="16" spans="1:6">
      <c r="B16" s="6">
        <f t="shared" si="1"/>
        <v>45657</v>
      </c>
      <c r="C16" s="8">
        <v>1560</v>
      </c>
      <c r="D16" s="8">
        <v>3622.7929447127763</v>
      </c>
      <c r="E16" s="8">
        <f t="shared" si="0"/>
        <v>4347.351533655331</v>
      </c>
    </row>
    <row r="17" spans="2:5">
      <c r="B17" s="6">
        <f t="shared" si="1"/>
        <v>45688</v>
      </c>
      <c r="C17" s="8">
        <v>1592</v>
      </c>
      <c r="D17" s="8">
        <v>3734.0777126042099</v>
      </c>
      <c r="E17" s="8">
        <f t="shared" si="0"/>
        <v>4480.8932551250518</v>
      </c>
    </row>
    <row r="18" spans="2:5">
      <c r="B18" s="6">
        <f t="shared" si="1"/>
        <v>45716</v>
      </c>
      <c r="C18" s="8">
        <v>1656</v>
      </c>
      <c r="D18" s="8">
        <v>3923.0333033877496</v>
      </c>
      <c r="E18" s="8">
        <f t="shared" si="0"/>
        <v>4707.639964065299</v>
      </c>
    </row>
    <row r="19" spans="2:5">
      <c r="B19" s="6">
        <f t="shared" si="1"/>
        <v>45747</v>
      </c>
      <c r="C19" s="8">
        <v>1723</v>
      </c>
      <c r="D19" s="8">
        <v>4040.9375108210879</v>
      </c>
      <c r="E19" s="8">
        <f t="shared" si="0"/>
        <v>4849.1250129853051</v>
      </c>
    </row>
    <row r="20" spans="2:5">
      <c r="B20" s="6">
        <f t="shared" si="1"/>
        <v>45777</v>
      </c>
      <c r="C20" s="8">
        <v>1758</v>
      </c>
      <c r="D20" s="8">
        <v>4081.7924913425641</v>
      </c>
      <c r="E20" s="8">
        <f t="shared" si="0"/>
        <v>4898.1509896110765</v>
      </c>
    </row>
    <row r="21" spans="2:5">
      <c r="B21" s="6">
        <f t="shared" si="1"/>
        <v>45808</v>
      </c>
      <c r="C21" s="8">
        <v>1829</v>
      </c>
      <c r="D21" s="8">
        <v>4289.1094717475571</v>
      </c>
      <c r="E21" s="8">
        <f t="shared" si="0"/>
        <v>5146.9313660970683</v>
      </c>
    </row>
    <row r="22" spans="2:5">
      <c r="B22" s="6">
        <f t="shared" si="1"/>
        <v>45838</v>
      </c>
      <c r="C22" s="8">
        <v>1903</v>
      </c>
      <c r="D22" s="8">
        <v>4507.2701355839026</v>
      </c>
      <c r="E22" s="8">
        <f t="shared" si="0"/>
        <v>5408.7241627006833</v>
      </c>
    </row>
    <row r="23" spans="2:5">
      <c r="B23" s="6">
        <f t="shared" si="1"/>
        <v>45869</v>
      </c>
      <c r="C23" s="8">
        <v>1980</v>
      </c>
      <c r="D23" s="8">
        <v>4642.7487754974072</v>
      </c>
      <c r="E23" s="8">
        <f t="shared" si="0"/>
        <v>5571.2985305968887</v>
      </c>
    </row>
    <row r="24" spans="2:5">
      <c r="B24" s="6">
        <f t="shared" si="1"/>
        <v>45900</v>
      </c>
      <c r="C24" s="8">
        <v>2020</v>
      </c>
      <c r="D24" s="8">
        <v>4736.5416800529101</v>
      </c>
      <c r="E24" s="8">
        <f t="shared" si="0"/>
        <v>5683.8500160634921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Instructions</vt:lpstr>
      <vt:lpstr>Analysis &gt; &gt;</vt:lpstr>
      <vt:lpstr>Analysis</vt:lpstr>
      <vt:lpstr>Management Report</vt:lpstr>
      <vt:lpstr>Source Data &gt; &gt;</vt:lpstr>
      <vt:lpstr>Database_Product</vt:lpstr>
      <vt:lpstr>Database_Client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 Financials</dc:creator>
  <cp:lastModifiedBy>Yaohong Liang</cp:lastModifiedBy>
  <dcterms:created xsi:type="dcterms:W3CDTF">2015-06-05T18:17:20Z</dcterms:created>
  <dcterms:modified xsi:type="dcterms:W3CDTF">2026-02-27T06:24:09Z</dcterms:modified>
</cp:coreProperties>
</file>